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henrik.carlsson\Desktop\"/>
    </mc:Choice>
  </mc:AlternateContent>
  <xr:revisionPtr revIDLastSave="0" documentId="13_ncr:1_{0489E72B-FEE4-4912-BA6E-1EB40AFA91DE}" xr6:coauthVersionLast="47" xr6:coauthVersionMax="47" xr10:uidLastSave="{00000000-0000-0000-0000-000000000000}"/>
  <bookViews>
    <workbookView xWindow="-28920" yWindow="1575" windowWidth="29040" windowHeight="15720" firstSheet="1" activeTab="3" xr2:uid="{4CF6865A-4523-4D04-9AAC-A35E487E1022}"/>
    <workbookView xWindow="-28920" yWindow="1575" windowWidth="29040" windowHeight="15720" firstSheet="3" activeTab="3" xr2:uid="{9D820EDB-D1DB-4651-873C-C2FC63A1F943}"/>
  </bookViews>
  <sheets>
    <sheet name="Bullettabell KOPIA ta bort" sheetId="21" state="hidden" r:id="rId1"/>
    <sheet name="Nyckeltal -&gt;" sheetId="43" r:id="rId2"/>
    <sheet name="2603" sheetId="44" r:id="rId3"/>
    <sheet name="2606" sheetId="45" r:id="rId4"/>
    <sheet name="Instructions" sheetId="34" state="hidden" r:id="rId5"/>
    <sheet name="Avstämning RAN vs Månadsrapport" sheetId="39" state="hidden" r:id="rId6"/>
    <sheet name="Räntekostnader finansinst" sheetId="40" state="hidden" r:id="rId7"/>
    <sheet name="Checklist Delårsrapport" sheetId="37" state="hidden" r:id="rId8"/>
    <sheet name="NRC Q126" sheetId="36" state="hidden" r:id="rId9"/>
    <sheet name="Avskrivningar" sheetId="33" state="hidden" r:id="rId10"/>
    <sheet name="BR, RR &amp; Bryggor -&gt;" sheetId="31" state="hidden" r:id="rId11"/>
    <sheet name="Koncern RR " sheetId="26" state="hidden" r:id="rId12"/>
    <sheet name="Koncern BR" sheetId="27" state="hidden" r:id="rId13"/>
    <sheet name="Koncernens eget kapital (3)" sheetId="30" state="hidden" r:id="rId14"/>
    <sheet name="Koncernens eget kapital (2)" sheetId="29" state="hidden" r:id="rId15"/>
    <sheet name="Koncern Nyckeltal (2)" sheetId="28" state="hidden" r:id="rId16"/>
    <sheet name="Övriga Tabeller &amp; Noter-&gt;" sheetId="32" state="hidden" r:id="rId17"/>
    <sheet name="Koncern EK" sheetId="3" state="hidden" r:id="rId18"/>
    <sheet name="Koncern KFA" sheetId="4" state="hidden" r:id="rId19"/>
    <sheet name="MB RR" sheetId="6" state="hidden" r:id="rId20"/>
    <sheet name="MB BR" sheetId="7" state="hidden" r:id="rId21"/>
    <sheet name="Not 2" sheetId="18" state="hidden" r:id="rId22"/>
    <sheet name="Not 3" sheetId="8" state="hidden" r:id="rId23"/>
    <sheet name="Not 4" sheetId="14" state="hidden" r:id="rId24"/>
    <sheet name="Not 5" sheetId="10" state="hidden" r:id="rId25"/>
    <sheet name="Not 6" sheetId="9" state="hidden" r:id="rId26"/>
    <sheet name="Not 9 - Polen" sheetId="22" state="hidden" r:id="rId27"/>
    <sheet name="Sheet1" sheetId="38" state="hidden" r:id="rId28"/>
    <sheet name="Koncern RR - EJ ANVÄNDA" sheetId="1" state="hidden" r:id="rId29"/>
    <sheet name="Bullettabell - EJ ANVÄNDA" sheetId="16" state="hidden" r:id="rId30"/>
    <sheet name="Koncern BR - KONCERN ANVÄNDA" sheetId="2" state="hidden" r:id="rId31"/>
    <sheet name="Koncern Nyckeltal - EJ ANVÄNDA" sheetId="5" state="hidden" r:id="rId32"/>
    <sheet name=" Finansiella ställning TA BORT" sheetId="20" state="hidden" r:id="rId33"/>
    <sheet name="Bullettabell 20250425 TA BORT" sheetId="19" state="hidden" r:id="rId34"/>
    <sheet name="Not 6 TA BORT" sheetId="11" state="hidden" r:id="rId35"/>
    <sheet name="Not 7 tab1" sheetId="13" state="hidden" r:id="rId36"/>
    <sheet name="Not 7 tab2" sheetId="12" state="hidden" r:id="rId37"/>
  </sheets>
  <externalReferences>
    <externalReference r:id="rId38"/>
    <externalReference r:id="rId39"/>
    <externalReference r:id="rId40"/>
  </externalReferences>
  <definedNames>
    <definedName name="Addo_DocID" comment="AddoOAS">"48b5951c-0487-468c-aae8-556027d1a62e"</definedName>
    <definedName name="Addo_Today">43872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8" i="45" l="1"/>
  <c r="A110" i="45"/>
  <c r="I115" i="45"/>
  <c r="I116" i="45"/>
  <c r="I117" i="45"/>
  <c r="I118" i="45"/>
  <c r="I119" i="45"/>
  <c r="I120" i="45"/>
  <c r="I121" i="45"/>
  <c r="I122" i="45"/>
  <c r="I123" i="45"/>
  <c r="I124" i="45"/>
  <c r="I126" i="45"/>
  <c r="I127" i="45"/>
  <c r="I95" i="45"/>
  <c r="I114" i="45" s="1"/>
  <c r="A95" i="45"/>
  <c r="I94" i="45"/>
  <c r="I113" i="45" s="1"/>
  <c r="A94" i="45"/>
  <c r="A99" i="45"/>
  <c r="A98" i="45"/>
  <c r="A97" i="45"/>
  <c r="A96" i="45"/>
  <c r="A105" i="45"/>
  <c r="A106" i="45"/>
  <c r="A104" i="45"/>
  <c r="A103" i="45"/>
  <c r="A102" i="45"/>
  <c r="A101" i="45"/>
  <c r="I93" i="45"/>
  <c r="I112" i="45" s="1"/>
  <c r="A93" i="45"/>
  <c r="I107" i="45"/>
  <c r="I125" i="45" s="1"/>
  <c r="A107" i="45"/>
  <c r="A108" i="45"/>
  <c r="A109" i="45"/>
  <c r="H97" i="45" l="1"/>
  <c r="O97" i="45"/>
  <c r="M97" i="45" l="1"/>
  <c r="F97" i="45"/>
  <c r="J97" i="45"/>
  <c r="C97" i="45"/>
  <c r="G97" i="45"/>
  <c r="N97" i="45"/>
  <c r="K97" i="45"/>
  <c r="D97" i="45"/>
  <c r="L97" i="45"/>
  <c r="E97" i="45"/>
  <c r="J96" i="45" l="1"/>
  <c r="K96" i="45"/>
  <c r="K93" i="45" l="1"/>
  <c r="M96" i="45"/>
  <c r="O96" i="45"/>
  <c r="N96" i="45"/>
  <c r="L96" i="45" l="1"/>
  <c r="O93" i="45"/>
  <c r="N93" i="45"/>
  <c r="L93" i="45"/>
  <c r="M93" i="45"/>
  <c r="K105" i="45"/>
  <c r="N105" i="45"/>
  <c r="J105" i="45"/>
  <c r="O105" i="45"/>
  <c r="M105" i="45" l="1"/>
  <c r="N110" i="45"/>
  <c r="G110" i="45"/>
  <c r="O110" i="45"/>
  <c r="H110" i="45"/>
  <c r="E110" i="45"/>
  <c r="L110" i="45"/>
  <c r="L105" i="45"/>
  <c r="F110" i="45"/>
  <c r="M110" i="45"/>
  <c r="G95" i="45" l="1"/>
  <c r="H95" i="45"/>
  <c r="F95" i="45"/>
  <c r="O95" i="45"/>
  <c r="M95" i="45"/>
  <c r="N95" i="45"/>
  <c r="L102" i="45" l="1"/>
  <c r="J102" i="45"/>
  <c r="N102" i="45" l="1"/>
  <c r="N109" i="45"/>
  <c r="J104" i="45"/>
  <c r="N104" i="45"/>
  <c r="L104" i="45" l="1"/>
  <c r="J101" i="45"/>
  <c r="N101" i="45"/>
  <c r="L101" i="45"/>
  <c r="N103" i="45"/>
  <c r="J103" i="45"/>
  <c r="J98" i="45" l="1"/>
  <c r="C98" i="45"/>
  <c r="N98" i="45"/>
  <c r="G98" i="45"/>
  <c r="L98" i="45"/>
  <c r="E98" i="45"/>
  <c r="L103" i="45"/>
  <c r="L109" i="45"/>
  <c r="L94" i="45" l="1"/>
  <c r="J94" i="45"/>
  <c r="O94" i="45"/>
  <c r="M94" i="45"/>
  <c r="K94" i="45"/>
  <c r="N94" i="45"/>
  <c r="O102" i="45" l="1"/>
  <c r="K102" i="45"/>
  <c r="M102" i="45"/>
  <c r="O104" i="45"/>
  <c r="O107" i="45" l="1"/>
  <c r="O109" i="45"/>
  <c r="O108" i="45"/>
  <c r="N106" i="45"/>
  <c r="N108" i="45"/>
  <c r="K104" i="45"/>
  <c r="J110" i="45" l="1"/>
  <c r="C110" i="45"/>
  <c r="K101" i="45"/>
  <c r="M101" i="45"/>
  <c r="M104" i="45"/>
  <c r="H98" i="45"/>
  <c r="O98" i="45"/>
  <c r="C99" i="45"/>
  <c r="J99" i="45"/>
  <c r="O101" i="45"/>
  <c r="N107" i="45"/>
  <c r="M109" i="45"/>
  <c r="K109" i="45"/>
  <c r="K103" i="45"/>
  <c r="O103" i="45"/>
  <c r="M103" i="45" l="1"/>
  <c r="O99" i="45"/>
  <c r="H99" i="45"/>
  <c r="M99" i="45"/>
  <c r="F99" i="45"/>
  <c r="N99" i="45"/>
  <c r="G99" i="45"/>
  <c r="K99" i="45"/>
  <c r="D99" i="45"/>
  <c r="D98" i="45"/>
  <c r="K98" i="45"/>
  <c r="F98" i="45"/>
  <c r="M98" i="45"/>
  <c r="K107" i="45"/>
  <c r="G109" i="45"/>
  <c r="J108" i="45"/>
  <c r="J106" i="45"/>
  <c r="E99" i="45" l="1"/>
  <c r="L99" i="45"/>
  <c r="C94" i="45"/>
  <c r="K108" i="45"/>
  <c r="O106" i="45"/>
  <c r="K106" i="45"/>
  <c r="G101" i="45"/>
  <c r="E101" i="45"/>
  <c r="C101" i="45"/>
  <c r="M106" i="45" l="1"/>
  <c r="L106" i="45"/>
  <c r="L108" i="45"/>
  <c r="M108" i="45"/>
  <c r="L107" i="45"/>
  <c r="M107" i="45"/>
  <c r="G103" i="45"/>
  <c r="E103" i="45" l="1"/>
  <c r="E102" i="45"/>
  <c r="C103" i="45"/>
  <c r="C102" i="45"/>
  <c r="G102" i="45"/>
  <c r="C104" i="45"/>
  <c r="G104" i="45"/>
  <c r="E109" i="45"/>
  <c r="E104" i="45" l="1"/>
  <c r="D94" i="45" l="1"/>
  <c r="H94" i="45"/>
  <c r="F94" i="45"/>
  <c r="E94" i="45" l="1"/>
  <c r="G94" i="45"/>
  <c r="J93" i="45" l="1"/>
  <c r="J109" i="45" l="1"/>
  <c r="C95" i="45"/>
  <c r="C109" i="45" l="1"/>
  <c r="J107" i="45" l="1"/>
  <c r="C93" i="45"/>
  <c r="J95" i="45"/>
  <c r="C96" i="45" l="1"/>
  <c r="K110" i="45"/>
  <c r="D110" i="45"/>
  <c r="E95" i="45"/>
  <c r="D109" i="45"/>
  <c r="C105" i="45"/>
  <c r="L95" i="45"/>
  <c r="H109" i="45"/>
  <c r="D95" i="45" l="1"/>
  <c r="K95" i="45"/>
  <c r="E96" i="45"/>
  <c r="F101" i="45"/>
  <c r="D101" i="45"/>
  <c r="E93" i="45" l="1"/>
  <c r="E105" i="45"/>
  <c r="H101" i="45"/>
  <c r="F103" i="45" l="1"/>
  <c r="D103" i="45"/>
  <c r="F109" i="45"/>
  <c r="H103" i="45" l="1"/>
  <c r="G96" i="45" l="1"/>
  <c r="D93" i="45"/>
  <c r="G105" i="45"/>
  <c r="D96" i="45"/>
  <c r="F96" i="45"/>
  <c r="F93" i="45" l="1"/>
  <c r="H96" i="45"/>
  <c r="H93" i="45"/>
  <c r="G93" i="45"/>
  <c r="D105" i="45"/>
  <c r="F105" i="45" l="1"/>
  <c r="H105" i="45"/>
  <c r="H104" i="45" l="1"/>
  <c r="G107" i="45"/>
  <c r="C107" i="45"/>
  <c r="D102" i="45" l="1"/>
  <c r="H102" i="45"/>
  <c r="F102" i="45"/>
  <c r="E107" i="45"/>
  <c r="D104" i="45"/>
  <c r="F104" i="45" l="1"/>
  <c r="H107" i="45" l="1"/>
  <c r="G106" i="45" l="1"/>
  <c r="H106" i="45"/>
  <c r="H108" i="45" l="1"/>
  <c r="G108" i="45"/>
  <c r="C106" i="45"/>
  <c r="C108" i="45" l="1"/>
  <c r="F106" i="45"/>
  <c r="D106" i="45"/>
  <c r="E108" i="45"/>
  <c r="D108" i="45"/>
  <c r="F108" i="45"/>
  <c r="D107" i="45"/>
  <c r="F107" i="45"/>
  <c r="E106" i="45" l="1"/>
  <c r="GU238" i="26" l="1"/>
  <c r="GT238" i="26"/>
  <c r="GT239" i="26" s="1"/>
  <c r="GT240" i="26" s="1"/>
  <c r="GT241" i="26" s="1"/>
  <c r="GT242" i="26" s="1"/>
  <c r="GT243" i="26" s="1"/>
  <c r="GT244" i="26" s="1"/>
  <c r="GT237" i="26"/>
  <c r="N4" i="45" l="1"/>
  <c r="O4" i="45"/>
  <c r="N5" i="45"/>
  <c r="O5" i="45"/>
  <c r="K4" i="45"/>
  <c r="L4" i="45"/>
  <c r="M4" i="45"/>
  <c r="K5" i="45"/>
  <c r="L5" i="45"/>
  <c r="M5" i="45"/>
  <c r="J5" i="45"/>
  <c r="J4" i="45"/>
  <c r="GU145" i="26" l="1"/>
  <c r="FN30" i="26" l="1"/>
  <c r="AK40" i="33" l="1"/>
  <c r="AK41" i="33"/>
  <c r="AK42" i="33"/>
  <c r="AJ40" i="33"/>
  <c r="AJ41" i="33"/>
  <c r="AJ42" i="33"/>
  <c r="AH43" i="33"/>
  <c r="AI43" i="33"/>
  <c r="AK43" i="33" s="1"/>
  <c r="AI22" i="33"/>
  <c r="AI23" i="33"/>
  <c r="AK23" i="33" s="1"/>
  <c r="AI21" i="33"/>
  <c r="AH22" i="33"/>
  <c r="AH23" i="33"/>
  <c r="AH21" i="33"/>
  <c r="AD22" i="33"/>
  <c r="AD23" i="33"/>
  <c r="AD21" i="33"/>
  <c r="GL32" i="26"/>
  <c r="FV32" i="26"/>
  <c r="EW33" i="26"/>
  <c r="FH24" i="26"/>
  <c r="FJ24" i="26"/>
  <c r="FF32" i="26"/>
  <c r="DY57" i="26"/>
  <c r="GW334" i="26"/>
  <c r="GX334" i="26"/>
  <c r="GY334" i="26"/>
  <c r="GW363" i="26"/>
  <c r="GX363" i="26"/>
  <c r="GY363" i="26"/>
  <c r="GT344" i="26"/>
  <c r="GT345" i="26"/>
  <c r="GT346" i="26"/>
  <c r="GT343" i="26"/>
  <c r="GT337" i="26"/>
  <c r="GT338" i="26"/>
  <c r="GT331" i="26"/>
  <c r="GT332" i="26"/>
  <c r="HN325" i="26"/>
  <c r="HK325" i="26"/>
  <c r="HJ325" i="26"/>
  <c r="HN324" i="26"/>
  <c r="HM324" i="26"/>
  <c r="HL324" i="26"/>
  <c r="HK324" i="26"/>
  <c r="HJ324" i="26"/>
  <c r="HN354" i="26"/>
  <c r="HK354" i="26"/>
  <c r="HJ354" i="26"/>
  <c r="HN353" i="26"/>
  <c r="HM353" i="26"/>
  <c r="HL353" i="26"/>
  <c r="HK353" i="26"/>
  <c r="HJ353" i="26"/>
  <c r="GU370" i="26"/>
  <c r="GU341" i="26"/>
  <c r="HT47" i="26"/>
  <c r="HU47" i="26"/>
  <c r="HT48" i="26"/>
  <c r="HU48" i="26"/>
  <c r="HR74" i="26"/>
  <c r="HS74" i="26"/>
  <c r="HV73" i="26"/>
  <c r="HW73" i="26"/>
  <c r="HR73" i="26"/>
  <c r="HE193" i="26"/>
  <c r="HE341" i="26" s="1"/>
  <c r="EE38" i="26"/>
  <c r="EF38" i="26"/>
  <c r="GZ193" i="26"/>
  <c r="GZ341" i="26" s="1"/>
  <c r="CK56" i="26"/>
  <c r="GY193" i="26"/>
  <c r="GY341" i="26" s="1"/>
  <c r="HA193" i="26"/>
  <c r="HA341" i="26" s="1"/>
  <c r="GW193" i="26"/>
  <c r="GW341" i="26" s="1"/>
  <c r="CL56" i="26"/>
  <c r="CM56" i="26"/>
  <c r="CN56" i="26"/>
  <c r="CO56" i="26"/>
  <c r="CR56" i="26"/>
  <c r="I23" i="40"/>
  <c r="M23" i="40"/>
  <c r="E23" i="40"/>
  <c r="C20" i="40"/>
  <c r="C24" i="40" s="1"/>
  <c r="I20" i="40"/>
  <c r="I24" i="40" s="1"/>
  <c r="HA131" i="26" s="1"/>
  <c r="M20" i="40"/>
  <c r="M24" i="40" s="1"/>
  <c r="HE224" i="26" s="1"/>
  <c r="E20" i="40"/>
  <c r="E24" i="40" s="1"/>
  <c r="GW267" i="26" s="1"/>
  <c r="GW268" i="26" s="1"/>
  <c r="J19" i="40"/>
  <c r="K19" i="40" s="1"/>
  <c r="L19" i="40" s="1"/>
  <c r="N19" i="40" s="1"/>
  <c r="O19" i="40" s="1"/>
  <c r="P19" i="40" s="1"/>
  <c r="P20" i="40" s="1"/>
  <c r="F19" i="40"/>
  <c r="F23" i="40" s="1"/>
  <c r="AK21" i="33" l="1"/>
  <c r="AK22" i="33"/>
  <c r="GW224" i="26"/>
  <c r="AJ43" i="33"/>
  <c r="AJ21" i="33"/>
  <c r="AH24" i="33"/>
  <c r="AJ23" i="33"/>
  <c r="AJ22" i="33"/>
  <c r="AI24" i="33"/>
  <c r="CQ56" i="26"/>
  <c r="HF193" i="26"/>
  <c r="HF341" i="26" s="1"/>
  <c r="HJ341" i="26" s="1"/>
  <c r="ED38" i="26"/>
  <c r="CS56" i="26"/>
  <c r="CT56" i="26"/>
  <c r="CP56" i="26"/>
  <c r="HD193" i="26"/>
  <c r="HD341" i="26" s="1"/>
  <c r="HC193" i="26"/>
  <c r="HC341" i="26" s="1"/>
  <c r="HB193" i="26"/>
  <c r="HB341" i="26" s="1"/>
  <c r="EA38" i="26"/>
  <c r="EB38" i="26"/>
  <c r="EC38" i="26"/>
  <c r="GX193" i="26"/>
  <c r="GX341" i="26" s="1"/>
  <c r="HE131" i="26"/>
  <c r="HE174" i="26"/>
  <c r="HE175" i="26" s="1"/>
  <c r="HA174" i="26"/>
  <c r="HA175" i="26" s="1"/>
  <c r="HA267" i="26"/>
  <c r="HA268" i="26" s="1"/>
  <c r="HA224" i="26"/>
  <c r="GW131" i="26"/>
  <c r="GW174" i="26"/>
  <c r="GW175" i="26" s="1"/>
  <c r="HE267" i="26"/>
  <c r="HE268" i="26" s="1"/>
  <c r="G19" i="40"/>
  <c r="G23" i="40" s="1"/>
  <c r="F20" i="40"/>
  <c r="F24" i="40" s="1"/>
  <c r="K23" i="40"/>
  <c r="J23" i="40"/>
  <c r="O20" i="40"/>
  <c r="N20" i="40"/>
  <c r="N24" i="40" s="1"/>
  <c r="P23" i="40"/>
  <c r="L20" i="40"/>
  <c r="O23" i="40"/>
  <c r="K20" i="40"/>
  <c r="N23" i="40"/>
  <c r="J20" i="40"/>
  <c r="J24" i="40" s="1"/>
  <c r="L23" i="40"/>
  <c r="AJ24" i="33" l="1"/>
  <c r="AK24" i="33"/>
  <c r="HK341" i="26"/>
  <c r="HO341" i="26"/>
  <c r="HM341" i="26"/>
  <c r="HN341" i="26"/>
  <c r="HL341" i="26"/>
  <c r="HB131" i="26"/>
  <c r="HB224" i="26"/>
  <c r="HK237" i="26" s="1"/>
  <c r="K28" i="45" s="1"/>
  <c r="HB267" i="26"/>
  <c r="HB268" i="26" s="1"/>
  <c r="HB174" i="26"/>
  <c r="HB175" i="26" s="1"/>
  <c r="HF131" i="26"/>
  <c r="HJ144" i="26" s="1"/>
  <c r="C28" i="45" s="1"/>
  <c r="HF224" i="26"/>
  <c r="HF267" i="26"/>
  <c r="HF268" i="26" s="1"/>
  <c r="HF174" i="26"/>
  <c r="HF175" i="26" s="1"/>
  <c r="GX224" i="26"/>
  <c r="GX267" i="26"/>
  <c r="GX268" i="26" s="1"/>
  <c r="GX131" i="26"/>
  <c r="GX174" i="26"/>
  <c r="GX175" i="26" s="1"/>
  <c r="L24" i="40"/>
  <c r="H19" i="40"/>
  <c r="H23" i="40" s="1"/>
  <c r="G20" i="40"/>
  <c r="G24" i="40" s="1"/>
  <c r="K24" i="40"/>
  <c r="O24" i="40"/>
  <c r="P24" i="40"/>
  <c r="HJ237" i="26" l="1"/>
  <c r="J28" i="45" s="1"/>
  <c r="H20" i="40"/>
  <c r="H24" i="40" s="1"/>
  <c r="HO237" i="26"/>
  <c r="O28" i="45" s="1"/>
  <c r="HK144" i="26"/>
  <c r="D28" i="45" s="1"/>
  <c r="HH174" i="26"/>
  <c r="HH175" i="26" s="1"/>
  <c r="HH131" i="26"/>
  <c r="HH224" i="26"/>
  <c r="HH267" i="26"/>
  <c r="HH268" i="26" s="1"/>
  <c r="HG174" i="26"/>
  <c r="HG175" i="26" s="1"/>
  <c r="HG131" i="26"/>
  <c r="HG267" i="26"/>
  <c r="HG268" i="26" s="1"/>
  <c r="HG224" i="26"/>
  <c r="HC224" i="26"/>
  <c r="HN237" i="26" s="1"/>
  <c r="N28" i="45" s="1"/>
  <c r="HC267" i="26"/>
  <c r="HC268" i="26" s="1"/>
  <c r="HC174" i="26"/>
  <c r="HC175" i="26" s="1"/>
  <c r="HC131" i="26"/>
  <c r="GY224" i="26"/>
  <c r="GY267" i="26"/>
  <c r="GY268" i="26" s="1"/>
  <c r="GY174" i="26"/>
  <c r="GY175" i="26" s="1"/>
  <c r="GY131" i="26"/>
  <c r="HD267" i="26"/>
  <c r="HD268" i="26" s="1"/>
  <c r="HD174" i="26"/>
  <c r="HD175" i="26" s="1"/>
  <c r="HD131" i="26"/>
  <c r="HD224" i="26"/>
  <c r="HN144" i="26" l="1"/>
  <c r="G28" i="45" s="1"/>
  <c r="HO144" i="26"/>
  <c r="H28" i="45" s="1"/>
  <c r="GZ224" i="26"/>
  <c r="GZ267" i="26"/>
  <c r="GZ268" i="26" s="1"/>
  <c r="GZ174" i="26"/>
  <c r="GZ175" i="26" s="1"/>
  <c r="GZ131" i="26"/>
  <c r="HB308" i="26" l="1"/>
  <c r="HC308" i="26"/>
  <c r="HD308" i="26"/>
  <c r="HA308" i="26"/>
  <c r="GZ308" i="26"/>
  <c r="HF308" i="26"/>
  <c r="HG308" i="26"/>
  <c r="P18" i="8" l="1"/>
  <c r="P19" i="8"/>
  <c r="P20" i="8"/>
  <c r="P21" i="8"/>
  <c r="P17" i="8"/>
  <c r="AL11" i="26" l="1"/>
  <c r="AP11" i="26"/>
  <c r="AH11" i="26"/>
  <c r="GR10" i="26" l="1"/>
  <c r="GQ10" i="26"/>
  <c r="GO10" i="26"/>
  <c r="GM10" i="26"/>
  <c r="GW24" i="26"/>
  <c r="GW23" i="26"/>
  <c r="GW21" i="26"/>
  <c r="GW19" i="26"/>
  <c r="GW17" i="26"/>
  <c r="GW15" i="26"/>
  <c r="FP10" i="26"/>
  <c r="FP11" i="26"/>
  <c r="FQ11" i="26"/>
  <c r="FR11" i="26"/>
  <c r="FS11" i="26"/>
  <c r="FU10" i="26"/>
  <c r="GB10" i="26" s="1"/>
  <c r="FT10" i="26"/>
  <c r="GA10" i="26" s="1"/>
  <c r="FR10" i="26"/>
  <c r="FY10" i="26" s="1"/>
  <c r="FN29" i="26"/>
  <c r="FN27" i="26"/>
  <c r="FN26" i="26"/>
  <c r="FN24" i="26"/>
  <c r="FN22" i="26"/>
  <c r="FN21" i="26"/>
  <c r="FN19" i="26"/>
  <c r="FN18" i="26"/>
  <c r="FN16" i="26"/>
  <c r="FN14" i="26"/>
  <c r="FN12" i="26"/>
  <c r="EW43" i="26"/>
  <c r="EU40" i="26" s="1"/>
  <c r="EW44" i="26"/>
  <c r="EU41" i="26" s="1"/>
  <c r="EW42" i="26"/>
  <c r="EU39" i="26" s="1"/>
  <c r="EW35" i="26"/>
  <c r="EU32" i="26" s="1"/>
  <c r="EW36" i="26"/>
  <c r="EU33" i="26" s="1"/>
  <c r="EW37" i="26"/>
  <c r="EU34" i="26" s="1"/>
  <c r="EW38" i="26"/>
  <c r="EU35" i="26" s="1"/>
  <c r="EW39" i="26"/>
  <c r="EU36" i="26" s="1"/>
  <c r="EW34" i="26"/>
  <c r="FA41" i="26"/>
  <c r="EZ41" i="26"/>
  <c r="FA32" i="26"/>
  <c r="EZ32" i="26"/>
  <c r="FA26" i="26"/>
  <c r="FJ25" i="26" s="1"/>
  <c r="EZ26" i="26"/>
  <c r="FI25" i="26" s="1"/>
  <c r="FA17" i="26"/>
  <c r="EZ17" i="26"/>
  <c r="FJ11" i="26"/>
  <c r="FJ31" i="26" s="1"/>
  <c r="FI11" i="26"/>
  <c r="FI40" i="26" s="1"/>
  <c r="FI39" i="26"/>
  <c r="FI30" i="26"/>
  <c r="FI15" i="26"/>
  <c r="EZ40" i="26"/>
  <c r="EZ31" i="26"/>
  <c r="EZ25" i="26"/>
  <c r="FI24" i="26" s="1"/>
  <c r="EZ16" i="26"/>
  <c r="GW340" i="26" l="1"/>
  <c r="GW369" i="26"/>
  <c r="FX11" i="26"/>
  <c r="FW11" i="26"/>
  <c r="EU31" i="26"/>
  <c r="FJ40" i="26"/>
  <c r="FI16" i="26"/>
  <c r="FJ16" i="26"/>
  <c r="FI31" i="26"/>
  <c r="L21" i="22" l="1"/>
  <c r="L22" i="22"/>
  <c r="L23" i="22"/>
  <c r="L24" i="22"/>
  <c r="L8" i="22"/>
  <c r="L9" i="22"/>
  <c r="L10" i="22"/>
  <c r="L11" i="22"/>
  <c r="L12" i="22"/>
  <c r="L13" i="22"/>
  <c r="L14" i="22"/>
  <c r="L15" i="22"/>
  <c r="L16" i="22"/>
  <c r="L17" i="22"/>
  <c r="AI17" i="14"/>
  <c r="AJ17" i="14"/>
  <c r="AE18" i="14"/>
  <c r="AF18" i="14"/>
  <c r="AE17" i="14"/>
  <c r="AH19" i="8"/>
  <c r="AI19" i="8"/>
  <c r="AE20" i="8"/>
  <c r="AD20" i="8"/>
  <c r="AD19" i="8"/>
  <c r="AE20" i="18"/>
  <c r="AF20" i="18"/>
  <c r="AI19" i="18"/>
  <c r="AJ19" i="18"/>
  <c r="AE19" i="18"/>
  <c r="AQ46" i="4" l="1"/>
  <c r="AR46" i="4"/>
  <c r="AN47" i="4"/>
  <c r="AM47" i="4"/>
  <c r="AM46" i="4"/>
  <c r="AK26" i="3"/>
  <c r="AG26" i="3"/>
  <c r="AH26" i="3"/>
  <c r="AG27" i="3"/>
  <c r="AH27" i="3"/>
  <c r="AF27" i="3"/>
  <c r="AF26" i="3"/>
  <c r="D7" i="39"/>
  <c r="D11" i="39" s="1"/>
  <c r="G3" i="39"/>
  <c r="G4" i="39"/>
  <c r="G8" i="39"/>
  <c r="G7" i="39"/>
  <c r="F9" i="39"/>
  <c r="F11" i="39" s="1"/>
  <c r="F5" i="39"/>
  <c r="G5" i="39" s="1"/>
  <c r="G9" i="39" l="1"/>
  <c r="G11" i="39" s="1"/>
  <c r="N73" i="27" l="1"/>
  <c r="R76" i="27"/>
  <c r="S76" i="27"/>
  <c r="R66" i="27"/>
  <c r="S66" i="27"/>
  <c r="R67" i="27"/>
  <c r="S67" i="27"/>
  <c r="R68" i="27"/>
  <c r="S68" i="27"/>
  <c r="R45" i="27"/>
  <c r="S45" i="27"/>
  <c r="R46" i="27"/>
  <c r="S46" i="27"/>
  <c r="R47" i="27"/>
  <c r="S47" i="27"/>
  <c r="R48" i="27"/>
  <c r="S48" i="27"/>
  <c r="R49" i="27"/>
  <c r="S49" i="27"/>
  <c r="Q15" i="27"/>
  <c r="W15" i="27" s="1"/>
  <c r="AC15" i="27" s="1"/>
  <c r="Q14" i="27"/>
  <c r="Q76" i="27" l="1"/>
  <c r="BK49" i="27"/>
  <c r="BK48" i="27"/>
  <c r="BK47" i="27"/>
  <c r="BK46" i="27"/>
  <c r="BK45" i="27"/>
  <c r="BK43" i="27"/>
  <c r="BM49" i="27"/>
  <c r="BM48" i="27"/>
  <c r="BM47" i="27"/>
  <c r="BM46" i="27"/>
  <c r="BM45" i="27"/>
  <c r="AA49" i="27"/>
  <c r="AA48" i="27"/>
  <c r="AA47" i="27"/>
  <c r="AA46" i="27"/>
  <c r="AA45" i="27"/>
  <c r="AA43" i="27"/>
  <c r="U49" i="27"/>
  <c r="U48" i="27"/>
  <c r="U47" i="27"/>
  <c r="U46" i="27"/>
  <c r="U45" i="27"/>
  <c r="U43" i="27"/>
  <c r="CL46" i="27"/>
  <c r="CR46" i="27"/>
  <c r="BY46" i="27"/>
  <c r="O73" i="27"/>
  <c r="L73" i="27"/>
  <c r="AW46" i="27"/>
  <c r="AH46" i="27"/>
  <c r="L14" i="27"/>
  <c r="BK33" i="27"/>
  <c r="AO81" i="27"/>
  <c r="IO22" i="26"/>
  <c r="IO23" i="26"/>
  <c r="IO24" i="26"/>
  <c r="IO21" i="26"/>
  <c r="IZ21" i="26" s="1"/>
  <c r="EM17" i="26"/>
  <c r="EN17" i="26"/>
  <c r="EO17" i="26"/>
  <c r="EP17" i="26"/>
  <c r="EQ17" i="26"/>
  <c r="ER17" i="26"/>
  <c r="DL36" i="26"/>
  <c r="DM36" i="26"/>
  <c r="DN36" i="26"/>
  <c r="DO36" i="26"/>
  <c r="DP36" i="26"/>
  <c r="DQ36" i="26"/>
  <c r="DR36" i="26"/>
  <c r="DS36" i="26"/>
  <c r="DT36" i="26"/>
  <c r="DU36" i="26"/>
  <c r="DV36" i="26"/>
  <c r="DW36" i="26"/>
  <c r="DV39" i="26"/>
  <c r="DW39" i="26"/>
  <c r="DL43" i="26"/>
  <c r="DM43" i="26"/>
  <c r="DN43" i="26"/>
  <c r="DO43" i="26"/>
  <c r="DP43" i="26"/>
  <c r="DQ43" i="26"/>
  <c r="DR43" i="26"/>
  <c r="DS43" i="26"/>
  <c r="DT43" i="26"/>
  <c r="DU43" i="26"/>
  <c r="DV43" i="26"/>
  <c r="DW43" i="26"/>
  <c r="DL44" i="26"/>
  <c r="DM44" i="26"/>
  <c r="DN44" i="26"/>
  <c r="DO44" i="26"/>
  <c r="DP44" i="26"/>
  <c r="DQ44" i="26"/>
  <c r="DR44" i="26"/>
  <c r="DS44" i="26"/>
  <c r="DT44" i="26"/>
  <c r="DU44" i="26"/>
  <c r="DV44" i="26"/>
  <c r="DW44" i="26"/>
  <c r="DL54" i="26"/>
  <c r="DM54" i="26"/>
  <c r="DN54" i="26"/>
  <c r="DO54" i="26"/>
  <c r="DP54" i="26"/>
  <c r="DQ54" i="26"/>
  <c r="DR54" i="26"/>
  <c r="DS54" i="26"/>
  <c r="DT54" i="26"/>
  <c r="DU54" i="26"/>
  <c r="DV54" i="26"/>
  <c r="DW54" i="26"/>
  <c r="DL58" i="26"/>
  <c r="DM58" i="26"/>
  <c r="DN58" i="26"/>
  <c r="DO58" i="26"/>
  <c r="DP58" i="26"/>
  <c r="DQ58" i="26"/>
  <c r="DR58" i="26"/>
  <c r="DS58" i="26"/>
  <c r="DT58" i="26"/>
  <c r="DU58" i="26"/>
  <c r="DV58" i="26"/>
  <c r="DW58" i="26"/>
  <c r="CU21" i="26"/>
  <c r="CV21" i="26"/>
  <c r="CU22" i="26"/>
  <c r="CV22" i="26"/>
  <c r="CU23" i="26"/>
  <c r="CV23" i="26"/>
  <c r="CU24" i="26"/>
  <c r="CV24" i="26"/>
  <c r="DW21" i="26" l="1"/>
  <c r="DV24" i="26"/>
  <c r="DW23" i="26"/>
  <c r="DV23" i="26"/>
  <c r="DW22" i="26"/>
  <c r="DV22" i="26"/>
  <c r="CV20" i="26"/>
  <c r="HH29" i="26" s="1"/>
  <c r="DW24" i="26"/>
  <c r="CU20" i="26"/>
  <c r="HG29" i="26" s="1"/>
  <c r="DV21" i="26"/>
  <c r="DV20" i="26" l="1"/>
  <c r="DW20" i="26"/>
  <c r="BZ10" i="33"/>
  <c r="CA10" i="33"/>
  <c r="BZ11" i="33"/>
  <c r="CA11" i="33"/>
  <c r="GZ306" i="26" l="1"/>
  <c r="GT306" i="26"/>
  <c r="GT308" i="26"/>
  <c r="GT309" i="26"/>
  <c r="GT340" i="26"/>
  <c r="GT341" i="26"/>
  <c r="GT336" i="26"/>
  <c r="GT334" i="26"/>
  <c r="GT330" i="26"/>
  <c r="GT328" i="26"/>
  <c r="GT327" i="26"/>
  <c r="GT317" i="26"/>
  <c r="GT316" i="26"/>
  <c r="GT314" i="26"/>
  <c r="GT313" i="26"/>
  <c r="GT311" i="26"/>
  <c r="GT305" i="26"/>
  <c r="GZ309" i="26" l="1"/>
  <c r="GU369" i="26" l="1"/>
  <c r="GU340" i="26"/>
  <c r="P88" i="26"/>
  <c r="P86" i="26"/>
  <c r="GZ363" i="26"/>
  <c r="GZ334" i="26"/>
  <c r="GW309" i="26"/>
  <c r="GW313" i="26" s="1"/>
  <c r="GX309" i="26"/>
  <c r="GX313" i="26" s="1"/>
  <c r="GY309" i="26"/>
  <c r="GY313" i="26" s="1"/>
  <c r="GZ313" i="26"/>
  <c r="BY10" i="33"/>
  <c r="BY11" i="33"/>
  <c r="HH308" i="26"/>
  <c r="HB306" i="26"/>
  <c r="HC306" i="26"/>
  <c r="HD306" i="26"/>
  <c r="HE306" i="26"/>
  <c r="HF306" i="26"/>
  <c r="HG306" i="26"/>
  <c r="HH306" i="26"/>
  <c r="HA306" i="26"/>
  <c r="GX316" i="26"/>
  <c r="GY316" i="26"/>
  <c r="GZ316" i="26"/>
  <c r="GW316" i="26"/>
  <c r="HN303" i="26"/>
  <c r="HK303" i="26"/>
  <c r="HJ303" i="26"/>
  <c r="HN302" i="26"/>
  <c r="HM302" i="26"/>
  <c r="HL302" i="26"/>
  <c r="HK302" i="26"/>
  <c r="HJ302" i="26"/>
  <c r="HK285" i="26"/>
  <c r="HN285" i="26"/>
  <c r="HJ285" i="26"/>
  <c r="HK277" i="26"/>
  <c r="HN277" i="26"/>
  <c r="HJ277" i="26"/>
  <c r="HK265" i="26"/>
  <c r="HN265" i="26"/>
  <c r="HJ265" i="26"/>
  <c r="HK258" i="26"/>
  <c r="HN258" i="26"/>
  <c r="HJ258" i="26"/>
  <c r="HK247" i="26"/>
  <c r="HN247" i="26"/>
  <c r="HJ247" i="26"/>
  <c r="HK215" i="26"/>
  <c r="HN215" i="26"/>
  <c r="HJ215" i="26"/>
  <c r="HK192" i="26"/>
  <c r="HN192" i="26"/>
  <c r="HJ192" i="26"/>
  <c r="HK184" i="26"/>
  <c r="HN184" i="26"/>
  <c r="HJ184" i="26"/>
  <c r="HK172" i="26"/>
  <c r="HN172" i="26"/>
  <c r="HJ172" i="26"/>
  <c r="HK165" i="26"/>
  <c r="HN165" i="26"/>
  <c r="HJ165" i="26"/>
  <c r="HK154" i="26"/>
  <c r="HN154" i="26"/>
  <c r="HJ154" i="26"/>
  <c r="HK122" i="26"/>
  <c r="HN122" i="26"/>
  <c r="HJ122" i="26"/>
  <c r="GZ355" i="26" l="1"/>
  <c r="GZ326" i="26"/>
  <c r="GY326" i="26"/>
  <c r="GY355" i="26"/>
  <c r="GX355" i="26"/>
  <c r="GX326" i="26"/>
  <c r="GW314" i="26"/>
  <c r="GW355" i="26"/>
  <c r="GW372" i="26" s="1"/>
  <c r="GW326" i="26"/>
  <c r="GW343" i="26" s="1"/>
  <c r="GW317" i="26"/>
  <c r="HA309" i="26"/>
  <c r="HH309" i="26"/>
  <c r="HH313" i="26" s="1"/>
  <c r="HG309" i="26"/>
  <c r="HG313" i="26" s="1"/>
  <c r="HF309" i="26"/>
  <c r="HE309" i="26"/>
  <c r="HD309" i="26"/>
  <c r="HD313" i="26" s="1"/>
  <c r="HC309" i="26"/>
  <c r="HC313" i="26" s="1"/>
  <c r="HB309" i="26"/>
  <c r="HK320" i="26" s="1"/>
  <c r="GZ314" i="26"/>
  <c r="GZ317" i="26" s="1"/>
  <c r="GX314" i="26"/>
  <c r="GX317" i="26" s="1"/>
  <c r="GY314" i="26"/>
  <c r="GY317" i="26" s="1"/>
  <c r="HA313" i="26" l="1"/>
  <c r="HA355" i="26" s="1"/>
  <c r="HM320" i="26"/>
  <c r="HE313" i="26"/>
  <c r="HL320" i="26"/>
  <c r="HF313" i="26"/>
  <c r="HF326" i="26" s="1"/>
  <c r="HJ320" i="26"/>
  <c r="GW380" i="26"/>
  <c r="HH326" i="26"/>
  <c r="HH355" i="26"/>
  <c r="GW330" i="26"/>
  <c r="GW336" i="26" s="1"/>
  <c r="GW359" i="26"/>
  <c r="GW365" i="26" s="1"/>
  <c r="GY330" i="26"/>
  <c r="GY336" i="26" s="1"/>
  <c r="GY359" i="26"/>
  <c r="GY365" i="26" s="1"/>
  <c r="GX359" i="26"/>
  <c r="GX365" i="26" s="1"/>
  <c r="GX330" i="26"/>
  <c r="GX336" i="26" s="1"/>
  <c r="HC355" i="26"/>
  <c r="HC326" i="26"/>
  <c r="HD355" i="26"/>
  <c r="HD326" i="26"/>
  <c r="HG326" i="26"/>
  <c r="HG355" i="26"/>
  <c r="GZ330" i="26"/>
  <c r="GZ336" i="26" s="1"/>
  <c r="GZ359" i="26"/>
  <c r="HB313" i="26"/>
  <c r="HA314" i="26" l="1"/>
  <c r="HF355" i="26"/>
  <c r="HJ355" i="26" s="1"/>
  <c r="HJ359" i="26" s="1"/>
  <c r="HA326" i="26"/>
  <c r="HG314" i="26"/>
  <c r="HE355" i="26"/>
  <c r="HE314" i="26"/>
  <c r="HH314" i="26"/>
  <c r="HE326" i="26"/>
  <c r="HL326" i="26" s="1"/>
  <c r="HF314" i="26"/>
  <c r="HB314" i="26"/>
  <c r="HB355" i="26"/>
  <c r="HM355" i="26" s="1"/>
  <c r="HB326" i="26"/>
  <c r="HM326" i="26" s="1"/>
  <c r="HJ326" i="26"/>
  <c r="HJ330" i="26" s="1"/>
  <c r="HC314" i="26"/>
  <c r="HD314" i="26"/>
  <c r="GZ365" i="26"/>
  <c r="HN284" i="26"/>
  <c r="HM284" i="26"/>
  <c r="HL284" i="26"/>
  <c r="HK284" i="26"/>
  <c r="HJ284" i="26"/>
  <c r="HN276" i="26"/>
  <c r="HM276" i="26"/>
  <c r="HL276" i="26"/>
  <c r="HK276" i="26"/>
  <c r="HJ276" i="26"/>
  <c r="HN264" i="26"/>
  <c r="HM264" i="26"/>
  <c r="HL264" i="26"/>
  <c r="HK264" i="26"/>
  <c r="HJ264" i="26"/>
  <c r="HN257" i="26"/>
  <c r="HM257" i="26"/>
  <c r="HL257" i="26"/>
  <c r="HK257" i="26"/>
  <c r="HJ257" i="26"/>
  <c r="HN191" i="26"/>
  <c r="HM191" i="26"/>
  <c r="HL191" i="26"/>
  <c r="HK191" i="26"/>
  <c r="HJ191" i="26"/>
  <c r="HN183" i="26"/>
  <c r="HM183" i="26"/>
  <c r="HL183" i="26"/>
  <c r="HK183" i="26"/>
  <c r="HJ183" i="26"/>
  <c r="HN171" i="26"/>
  <c r="HM171" i="26"/>
  <c r="HL171" i="26"/>
  <c r="HK171" i="26"/>
  <c r="HJ171" i="26"/>
  <c r="HN164" i="26"/>
  <c r="HM164" i="26"/>
  <c r="HL164" i="26"/>
  <c r="HK164" i="26"/>
  <c r="HJ164" i="26"/>
  <c r="HN246" i="26"/>
  <c r="HM246" i="26"/>
  <c r="HL246" i="26"/>
  <c r="HK246" i="26"/>
  <c r="HJ246" i="26"/>
  <c r="HN153" i="26"/>
  <c r="HM153" i="26"/>
  <c r="HL153" i="26"/>
  <c r="HK153" i="26"/>
  <c r="HJ153" i="26"/>
  <c r="HN214" i="26"/>
  <c r="HM214" i="26"/>
  <c r="HL214" i="26"/>
  <c r="HK214" i="26"/>
  <c r="HJ214" i="26"/>
  <c r="HN121" i="26"/>
  <c r="HM121" i="26"/>
  <c r="HL121" i="26"/>
  <c r="HK121" i="26"/>
  <c r="HJ121" i="26"/>
  <c r="HG118" i="26"/>
  <c r="HH118" i="26"/>
  <c r="GU199" i="26"/>
  <c r="GU292" i="26"/>
  <c r="HJ267" i="26"/>
  <c r="HK267" i="26"/>
  <c r="HL267" i="26"/>
  <c r="HM267" i="26"/>
  <c r="HN267" i="26"/>
  <c r="HO267" i="26"/>
  <c r="HJ268" i="26"/>
  <c r="HK268" i="26"/>
  <c r="HL268" i="26"/>
  <c r="HM268" i="26"/>
  <c r="HN268" i="26"/>
  <c r="HO268" i="26"/>
  <c r="HN209" i="26"/>
  <c r="HK209" i="26"/>
  <c r="HJ209" i="26"/>
  <c r="HN208" i="26"/>
  <c r="HM208" i="26"/>
  <c r="HL208" i="26"/>
  <c r="HK208" i="26"/>
  <c r="HJ208" i="26"/>
  <c r="HN28" i="26"/>
  <c r="HK28" i="26"/>
  <c r="HJ28" i="26"/>
  <c r="HN27" i="26"/>
  <c r="HM27" i="26"/>
  <c r="HL27" i="26"/>
  <c r="HK27" i="26"/>
  <c r="HJ27" i="26"/>
  <c r="HK53" i="26"/>
  <c r="HL53" i="26"/>
  <c r="HM53" i="26"/>
  <c r="HN53" i="26"/>
  <c r="HK54" i="26"/>
  <c r="HN54" i="26"/>
  <c r="HN116" i="26"/>
  <c r="HK116" i="26"/>
  <c r="HJ116" i="26"/>
  <c r="HN115" i="26"/>
  <c r="HM115" i="26"/>
  <c r="HL115" i="26"/>
  <c r="HK115" i="26"/>
  <c r="HJ115" i="26"/>
  <c r="HN93" i="26"/>
  <c r="HK93" i="26"/>
  <c r="HJ93" i="26"/>
  <c r="HN92" i="26"/>
  <c r="HM92" i="26"/>
  <c r="HL92" i="26"/>
  <c r="HK92" i="26"/>
  <c r="HJ92" i="26"/>
  <c r="HK86" i="26"/>
  <c r="HL86" i="26"/>
  <c r="HM86" i="26"/>
  <c r="HN86" i="26"/>
  <c r="HK87" i="26"/>
  <c r="HN87" i="26"/>
  <c r="HJ87" i="26"/>
  <c r="HJ86" i="26"/>
  <c r="HK193" i="26"/>
  <c r="AT88" i="27"/>
  <c r="GX19" i="26"/>
  <c r="GY19" i="26"/>
  <c r="GZ19" i="26"/>
  <c r="GX188" i="26"/>
  <c r="GY188" i="26"/>
  <c r="GZ188" i="26"/>
  <c r="GW188" i="26"/>
  <c r="Q28" i="33"/>
  <c r="GW273" i="26"/>
  <c r="GX273" i="26"/>
  <c r="GY273" i="26"/>
  <c r="GZ273" i="26"/>
  <c r="HA273" i="26"/>
  <c r="HB273" i="26"/>
  <c r="HC273" i="26"/>
  <c r="HD273" i="26"/>
  <c r="HE273" i="26"/>
  <c r="HF273" i="26"/>
  <c r="HG273" i="26"/>
  <c r="HH273" i="26"/>
  <c r="HF272" i="26"/>
  <c r="HF225" i="26" s="1"/>
  <c r="HG272" i="26"/>
  <c r="HG225" i="26" s="1"/>
  <c r="HH272" i="26"/>
  <c r="HH225" i="26" s="1"/>
  <c r="HE272" i="26"/>
  <c r="HE225" i="26" s="1"/>
  <c r="HC272" i="26"/>
  <c r="HC225" i="26" s="1"/>
  <c r="HD272" i="26"/>
  <c r="HD225" i="26" s="1"/>
  <c r="HA272" i="26"/>
  <c r="HA225" i="26" s="1"/>
  <c r="HB272" i="26"/>
  <c r="HB225" i="26" s="1"/>
  <c r="GW281" i="26"/>
  <c r="HD279" i="26"/>
  <c r="HC279" i="26"/>
  <c r="HG279" i="26" s="1"/>
  <c r="HB279" i="26"/>
  <c r="HK279" i="26" s="1"/>
  <c r="HM279" i="26" s="1"/>
  <c r="HA279" i="26"/>
  <c r="HE279" i="26" s="1"/>
  <c r="HB186" i="26"/>
  <c r="HC186" i="26"/>
  <c r="HG186" i="26" s="1"/>
  <c r="HD186" i="26"/>
  <c r="HA186" i="26"/>
  <c r="HE186" i="26" s="1"/>
  <c r="HN355" i="26" l="1"/>
  <c r="HL355" i="26"/>
  <c r="HN326" i="26"/>
  <c r="AT106" i="27"/>
  <c r="AT118" i="27" s="1"/>
  <c r="AT14" i="27" s="1"/>
  <c r="BH14" i="27" s="1"/>
  <c r="HO355" i="26"/>
  <c r="HO326" i="26"/>
  <c r="HK326" i="26"/>
  <c r="HK330" i="26" s="1"/>
  <c r="HK355" i="26"/>
  <c r="HK359" i="26" s="1"/>
  <c r="AL16" i="33"/>
  <c r="HH186" i="26"/>
  <c r="HO186" i="26"/>
  <c r="HF186" i="26"/>
  <c r="HJ186" i="26" s="1"/>
  <c r="HL186" i="26" s="1"/>
  <c r="HK186" i="26"/>
  <c r="HM186" i="26" s="1"/>
  <c r="HH279" i="26"/>
  <c r="HO279" i="26"/>
  <c r="HO193" i="26"/>
  <c r="HM193" i="26"/>
  <c r="HF279" i="26"/>
  <c r="HJ279" i="26" s="1"/>
  <c r="HL279" i="26" s="1"/>
  <c r="Q20" i="33" l="1"/>
  <c r="Q38" i="33" s="1"/>
  <c r="HG40" i="26" l="1"/>
  <c r="HH40" i="26"/>
  <c r="HG41" i="26"/>
  <c r="HH41" i="26"/>
  <c r="HH42" i="26" l="1"/>
  <c r="HG42" i="26"/>
  <c r="HD252" i="26"/>
  <c r="HC252" i="26"/>
  <c r="HB252" i="26"/>
  <c r="HB316" i="26" s="1"/>
  <c r="HB317" i="26" s="1"/>
  <c r="HA252" i="26"/>
  <c r="HB359" i="26" l="1"/>
  <c r="HM359" i="26" s="1"/>
  <c r="HB330" i="26"/>
  <c r="HE252" i="26"/>
  <c r="HE316" i="26" s="1"/>
  <c r="HE317" i="26" s="1"/>
  <c r="HA316" i="26"/>
  <c r="HA317" i="26" s="1"/>
  <c r="HG252" i="26"/>
  <c r="HG316" i="26" s="1"/>
  <c r="HG317" i="26" s="1"/>
  <c r="HC316" i="26"/>
  <c r="HC317" i="26" s="1"/>
  <c r="HH252" i="26"/>
  <c r="HH316" i="26" s="1"/>
  <c r="HH317" i="26" s="1"/>
  <c r="HD316" i="26"/>
  <c r="HD317" i="26" s="1"/>
  <c r="HF252" i="26"/>
  <c r="HF316" i="26" s="1"/>
  <c r="HF317" i="26" s="1"/>
  <c r="HD159" i="26"/>
  <c r="HH159" i="26" s="1"/>
  <c r="HC159" i="26"/>
  <c r="HG159" i="26" s="1"/>
  <c r="HB159" i="26"/>
  <c r="HA159" i="26"/>
  <c r="HE159" i="26" s="1"/>
  <c r="HD231" i="26"/>
  <c r="HH231" i="26" s="1"/>
  <c r="HC231" i="26"/>
  <c r="HG231" i="26" s="1"/>
  <c r="HB231" i="26"/>
  <c r="HM231" i="26" s="1"/>
  <c r="HM237" i="26" s="1"/>
  <c r="M28" i="45" s="1"/>
  <c r="HA231" i="26"/>
  <c r="HE231" i="26" s="1"/>
  <c r="GW272" i="26"/>
  <c r="GW225" i="26" s="1"/>
  <c r="GY272" i="26"/>
  <c r="GY225" i="26" s="1"/>
  <c r="GZ272" i="26"/>
  <c r="GZ225" i="26" s="1"/>
  <c r="GX272" i="26"/>
  <c r="GX225" i="26" s="1"/>
  <c r="HD138" i="26"/>
  <c r="HH138" i="26" s="1"/>
  <c r="HC138" i="26"/>
  <c r="HB138" i="26"/>
  <c r="HM138" i="26" s="1"/>
  <c r="HM144" i="26" s="1"/>
  <c r="F28" i="45" s="1"/>
  <c r="HA138" i="26"/>
  <c r="HE138" i="26" s="1"/>
  <c r="GU211" i="26"/>
  <c r="GU210" i="26"/>
  <c r="GU117" i="26"/>
  <c r="HG66" i="26"/>
  <c r="HH66" i="26"/>
  <c r="HG67" i="26"/>
  <c r="HH67" i="26"/>
  <c r="HG123" i="26"/>
  <c r="HH123" i="26"/>
  <c r="HB89" i="26"/>
  <c r="HF89" i="26" s="1"/>
  <c r="HC89" i="26"/>
  <c r="HG89" i="26" s="1"/>
  <c r="HD89" i="26"/>
  <c r="HH89" i="26" s="1"/>
  <c r="HA89" i="26"/>
  <c r="HF17" i="26"/>
  <c r="HG17" i="26"/>
  <c r="HH17" i="26"/>
  <c r="HE17" i="26"/>
  <c r="HB17" i="26"/>
  <c r="HC17" i="26"/>
  <c r="HD17" i="26"/>
  <c r="HO17" i="26" s="1"/>
  <c r="H37" i="45" s="1"/>
  <c r="H116" i="45" s="1"/>
  <c r="HA17" i="26"/>
  <c r="O37" i="45" l="1"/>
  <c r="O116" i="45" s="1"/>
  <c r="HM330" i="26"/>
  <c r="HF330" i="26"/>
  <c r="HF359" i="26"/>
  <c r="HD330" i="26"/>
  <c r="HD359" i="26"/>
  <c r="HO359" i="26" s="1"/>
  <c r="HH359" i="26"/>
  <c r="HH330" i="26"/>
  <c r="HC359" i="26"/>
  <c r="HC330" i="26"/>
  <c r="HG359" i="26"/>
  <c r="HG330" i="26"/>
  <c r="HA359" i="26"/>
  <c r="HA330" i="26"/>
  <c r="HE330" i="26"/>
  <c r="HE359" i="26"/>
  <c r="HF231" i="26"/>
  <c r="HL231" i="26" s="1"/>
  <c r="HL237" i="26" s="1"/>
  <c r="L28" i="45" s="1"/>
  <c r="HF138" i="26"/>
  <c r="HL138" i="26" s="1"/>
  <c r="HL144" i="26" s="1"/>
  <c r="E28" i="45" s="1"/>
  <c r="HF159" i="26"/>
  <c r="HN17" i="26"/>
  <c r="G37" i="45" s="1"/>
  <c r="G116" i="45" s="1"/>
  <c r="HJ17" i="26"/>
  <c r="C37" i="45" s="1"/>
  <c r="HL17" i="26"/>
  <c r="E37" i="45" s="1"/>
  <c r="E116" i="45" s="1"/>
  <c r="HK17" i="26"/>
  <c r="D37" i="45" s="1"/>
  <c r="D116" i="45" s="1"/>
  <c r="HM17" i="26"/>
  <c r="F37" i="45" s="1"/>
  <c r="F116" i="45" s="1"/>
  <c r="GW180" i="26"/>
  <c r="HG138" i="26"/>
  <c r="HH68" i="26"/>
  <c r="HG68" i="26"/>
  <c r="HE89" i="26"/>
  <c r="L37" i="45" l="1"/>
  <c r="L116" i="45" s="1"/>
  <c r="N37" i="45"/>
  <c r="N116" i="45" s="1"/>
  <c r="K37" i="45"/>
  <c r="K116" i="45" s="1"/>
  <c r="J37" i="45"/>
  <c r="J116" i="45" s="1"/>
  <c r="C116" i="45"/>
  <c r="M37" i="45"/>
  <c r="M116" i="45" s="1"/>
  <c r="HN359" i="26"/>
  <c r="HL359" i="26"/>
  <c r="HL330" i="26"/>
  <c r="HN330" i="26"/>
  <c r="HO330" i="26"/>
  <c r="HG15" i="26"/>
  <c r="HH15" i="26"/>
  <c r="HF23" i="26"/>
  <c r="HG23" i="26"/>
  <c r="HH23" i="26"/>
  <c r="HF24" i="26"/>
  <c r="HG24" i="26"/>
  <c r="HH24" i="26"/>
  <c r="HE24" i="26"/>
  <c r="HE23" i="26"/>
  <c r="HB23" i="26"/>
  <c r="HC23" i="26"/>
  <c r="HD23" i="26"/>
  <c r="HB24" i="26"/>
  <c r="HC24" i="26"/>
  <c r="HD24" i="26"/>
  <c r="HO24" i="26" s="1"/>
  <c r="HA24" i="26"/>
  <c r="HA23" i="26"/>
  <c r="GX23" i="26"/>
  <c r="GY23" i="26"/>
  <c r="GZ23" i="26"/>
  <c r="GX24" i="26"/>
  <c r="GY24" i="26"/>
  <c r="GZ24" i="26"/>
  <c r="HF21" i="26"/>
  <c r="HJ21" i="26" s="1"/>
  <c r="C79" i="45" s="1"/>
  <c r="HG21" i="26"/>
  <c r="HH21" i="26"/>
  <c r="HE21" i="26"/>
  <c r="HB21" i="26"/>
  <c r="HK21" i="26" s="1"/>
  <c r="D79" i="45" s="1"/>
  <c r="HC21" i="26"/>
  <c r="HD21" i="26"/>
  <c r="HA21" i="26"/>
  <c r="GX21" i="26"/>
  <c r="GY21" i="26"/>
  <c r="GZ21" i="26"/>
  <c r="HG94" i="26"/>
  <c r="HH94" i="26"/>
  <c r="HG95" i="26"/>
  <c r="HH95" i="26"/>
  <c r="HG96" i="26"/>
  <c r="HH96" i="26"/>
  <c r="HG124" i="26"/>
  <c r="HH124" i="26"/>
  <c r="HG125" i="26"/>
  <c r="HH125" i="26"/>
  <c r="HK174" i="26"/>
  <c r="D74" i="45" s="1"/>
  <c r="K74" i="45" s="1"/>
  <c r="HJ174" i="26"/>
  <c r="C74" i="45" s="1"/>
  <c r="J74" i="45" s="1"/>
  <c r="HK175" i="26"/>
  <c r="HJ175" i="26"/>
  <c r="HG166" i="26"/>
  <c r="HH166" i="26"/>
  <c r="HG167" i="26"/>
  <c r="HH167" i="26"/>
  <c r="HG168" i="26"/>
  <c r="HH168" i="26"/>
  <c r="N12" i="37"/>
  <c r="N11" i="37"/>
  <c r="N19" i="37"/>
  <c r="D84" i="45" l="1"/>
  <c r="K84" i="45" s="1"/>
  <c r="K79" i="45"/>
  <c r="C84" i="45"/>
  <c r="J84" i="45" s="1"/>
  <c r="J79" i="45"/>
  <c r="HO21" i="26"/>
  <c r="H79" i="45" s="1"/>
  <c r="GX340" i="26"/>
  <c r="GX343" i="26" s="1"/>
  <c r="GX369" i="26"/>
  <c r="GX372" i="26" s="1"/>
  <c r="GY340" i="26"/>
  <c r="GY343" i="26" s="1"/>
  <c r="GY369" i="26"/>
  <c r="GY372" i="26" s="1"/>
  <c r="HN21" i="26"/>
  <c r="G79" i="45" s="1"/>
  <c r="HE369" i="26"/>
  <c r="HE372" i="26" s="1"/>
  <c r="HE340" i="26"/>
  <c r="HE343" i="26" s="1"/>
  <c r="HH369" i="26"/>
  <c r="HH372" i="26" s="1"/>
  <c r="HH340" i="26"/>
  <c r="HH343" i="26" s="1"/>
  <c r="HG369" i="26"/>
  <c r="HG372" i="26" s="1"/>
  <c r="HG340" i="26"/>
  <c r="HG343" i="26" s="1"/>
  <c r="HD369" i="26"/>
  <c r="HD372" i="26" s="1"/>
  <c r="HD340" i="26"/>
  <c r="HD343" i="26" s="1"/>
  <c r="HC340" i="26"/>
  <c r="HC343" i="26" s="1"/>
  <c r="HC369" i="26"/>
  <c r="HC372" i="26" s="1"/>
  <c r="GZ369" i="26"/>
  <c r="GZ372" i="26" s="1"/>
  <c r="GZ340" i="26"/>
  <c r="GZ343" i="26" s="1"/>
  <c r="HA369" i="26"/>
  <c r="HA372" i="26" s="1"/>
  <c r="HA340" i="26"/>
  <c r="HA343" i="26" s="1"/>
  <c r="HF369" i="26"/>
  <c r="HF372" i="26" s="1"/>
  <c r="HF340" i="26"/>
  <c r="HF343" i="26" s="1"/>
  <c r="HB369" i="26"/>
  <c r="HB372" i="26" s="1"/>
  <c r="HB340" i="26"/>
  <c r="HB343" i="26" s="1"/>
  <c r="HL21" i="26"/>
  <c r="E79" i="45" s="1"/>
  <c r="HE292" i="26"/>
  <c r="HE199" i="26"/>
  <c r="HA199" i="26"/>
  <c r="HA292" i="26"/>
  <c r="HF292" i="26"/>
  <c r="HF199" i="26"/>
  <c r="HB199" i="26"/>
  <c r="HB292" i="26"/>
  <c r="GZ199" i="26"/>
  <c r="GZ292" i="26"/>
  <c r="GY199" i="26"/>
  <c r="GY292" i="26"/>
  <c r="HH199" i="26"/>
  <c r="HH292" i="26"/>
  <c r="HG292" i="26"/>
  <c r="HG199" i="26"/>
  <c r="GW199" i="26"/>
  <c r="GW292" i="26"/>
  <c r="HC292" i="26"/>
  <c r="HC199" i="26"/>
  <c r="GX199" i="26"/>
  <c r="GX292" i="26"/>
  <c r="HD292" i="26"/>
  <c r="HD199" i="26"/>
  <c r="HL23" i="26"/>
  <c r="E90" i="45" s="1"/>
  <c r="L90" i="45" s="1"/>
  <c r="HN23" i="26"/>
  <c r="G90" i="45" s="1"/>
  <c r="N90" i="45" s="1"/>
  <c r="HJ23" i="26"/>
  <c r="C90" i="45" s="1"/>
  <c r="J90" i="45" s="1"/>
  <c r="HK23" i="26"/>
  <c r="D90" i="45" s="1"/>
  <c r="K90" i="45" s="1"/>
  <c r="HN174" i="26"/>
  <c r="G74" i="45" s="1"/>
  <c r="N74" i="45" s="1"/>
  <c r="HL24" i="26"/>
  <c r="HJ24" i="26"/>
  <c r="HN24" i="26"/>
  <c r="HL175" i="26"/>
  <c r="HN175" i="26"/>
  <c r="HM21" i="26"/>
  <c r="F79" i="45" s="1"/>
  <c r="HL174" i="26"/>
  <c r="E74" i="45" s="1"/>
  <c r="L74" i="45" s="1"/>
  <c r="HM23" i="26"/>
  <c r="F90" i="45" s="1"/>
  <c r="M90" i="45" s="1"/>
  <c r="HO23" i="26"/>
  <c r="H90" i="45" s="1"/>
  <c r="O90" i="45" s="1"/>
  <c r="HO174" i="26"/>
  <c r="H74" i="45" s="1"/>
  <c r="O74" i="45" s="1"/>
  <c r="HM174" i="26"/>
  <c r="F74" i="45" s="1"/>
  <c r="M74" i="45" s="1"/>
  <c r="HM175" i="26"/>
  <c r="HO175" i="26"/>
  <c r="HM24" i="26"/>
  <c r="HK24" i="26"/>
  <c r="HH48" i="26"/>
  <c r="HH74" i="26"/>
  <c r="HG48" i="26"/>
  <c r="HG74" i="26"/>
  <c r="HD179" i="26"/>
  <c r="HB179" i="26"/>
  <c r="HA179" i="26"/>
  <c r="HC179" i="26"/>
  <c r="GZ180" i="26"/>
  <c r="GX180" i="26"/>
  <c r="GY180" i="26"/>
  <c r="HF179" i="26"/>
  <c r="HE179" i="26"/>
  <c r="HH179" i="26"/>
  <c r="HG179" i="26"/>
  <c r="HF180" i="26"/>
  <c r="HH180" i="26"/>
  <c r="HG180" i="26"/>
  <c r="HE180" i="26"/>
  <c r="HD180" i="26"/>
  <c r="HC180" i="26"/>
  <c r="HB180" i="26"/>
  <c r="HA180" i="26"/>
  <c r="HH111" i="26"/>
  <c r="HH20" i="26" s="1"/>
  <c r="HD132" i="26"/>
  <c r="HC132" i="26"/>
  <c r="HB132" i="26"/>
  <c r="HA132" i="26"/>
  <c r="HH132" i="26"/>
  <c r="HG132" i="26"/>
  <c r="HF132" i="26"/>
  <c r="HE132" i="26"/>
  <c r="HG111" i="26"/>
  <c r="HG20" i="26" s="1"/>
  <c r="HH126" i="26"/>
  <c r="HG126" i="26"/>
  <c r="HH169" i="26"/>
  <c r="HH45" i="26" s="1"/>
  <c r="HG97" i="26"/>
  <c r="HH97" i="26"/>
  <c r="HG169" i="26"/>
  <c r="HG45" i="26" s="1"/>
  <c r="G84" i="45" l="1"/>
  <c r="N84" i="45" s="1"/>
  <c r="N79" i="45"/>
  <c r="H84" i="45"/>
  <c r="O84" i="45" s="1"/>
  <c r="O79" i="45"/>
  <c r="E84" i="45"/>
  <c r="L84" i="45" s="1"/>
  <c r="L79" i="45"/>
  <c r="F84" i="45"/>
  <c r="M84" i="45" s="1"/>
  <c r="M79" i="45"/>
  <c r="HC380" i="26"/>
  <c r="GY380" i="26"/>
  <c r="GX380" i="26"/>
  <c r="HE380" i="26"/>
  <c r="GZ380" i="26"/>
  <c r="HB380" i="26"/>
  <c r="HA380" i="26"/>
  <c r="HD380" i="26"/>
  <c r="HG380" i="26"/>
  <c r="HF380" i="26"/>
  <c r="HH380" i="26"/>
  <c r="HN369" i="26"/>
  <c r="HN372" i="26" s="1"/>
  <c r="HN340" i="26"/>
  <c r="HK340" i="26"/>
  <c r="HK369" i="26"/>
  <c r="HK372" i="26" s="1"/>
  <c r="HJ340" i="26"/>
  <c r="HJ369" i="26"/>
  <c r="HJ372" i="26" s="1"/>
  <c r="HO340" i="26"/>
  <c r="HM340" i="26"/>
  <c r="HL340" i="26"/>
  <c r="HO369" i="26"/>
  <c r="HO372" i="26" s="1"/>
  <c r="HM369" i="26"/>
  <c r="HM372" i="26" s="1"/>
  <c r="HL369" i="26"/>
  <c r="HL372" i="26" s="1"/>
  <c r="HM292" i="26"/>
  <c r="HM199" i="26"/>
  <c r="HJ199" i="26"/>
  <c r="HJ292" i="26"/>
  <c r="HO292" i="26"/>
  <c r="HO199" i="26"/>
  <c r="HN292" i="26"/>
  <c r="HN199" i="26"/>
  <c r="HK292" i="26"/>
  <c r="HK199" i="26"/>
  <c r="HL292" i="26"/>
  <c r="HL199" i="26"/>
  <c r="HG210" i="26"/>
  <c r="HG117" i="26"/>
  <c r="HG119" i="26" s="1"/>
  <c r="HG43" i="26" s="1"/>
  <c r="HH117" i="26"/>
  <c r="HH119" i="26" s="1"/>
  <c r="HH43" i="26" s="1"/>
  <c r="HH210" i="26"/>
  <c r="HH18" i="26"/>
  <c r="HG18" i="26"/>
  <c r="HG217" i="26"/>
  <c r="HH217" i="26"/>
  <c r="HG218" i="26"/>
  <c r="HH218" i="26"/>
  <c r="HG259" i="26"/>
  <c r="HH259" i="26"/>
  <c r="HG260" i="26"/>
  <c r="HH260" i="26"/>
  <c r="HG261" i="26"/>
  <c r="HH261" i="26"/>
  <c r="HH216" i="26" s="1"/>
  <c r="ID17" i="26"/>
  <c r="IE17" i="26"/>
  <c r="ID21" i="26"/>
  <c r="IE21" i="26"/>
  <c r="ID23" i="26"/>
  <c r="IE23" i="26"/>
  <c r="ID24" i="26"/>
  <c r="IE24" i="26"/>
  <c r="ID53" i="26"/>
  <c r="IE53" i="26"/>
  <c r="ID54" i="26"/>
  <c r="IE54" i="26"/>
  <c r="ID27" i="26"/>
  <c r="IE27" i="26"/>
  <c r="ID28" i="26"/>
  <c r="IE28" i="26"/>
  <c r="HJ54" i="26"/>
  <c r="HJ53" i="26"/>
  <c r="IG54" i="26"/>
  <c r="IF54" i="26"/>
  <c r="IC54" i="26"/>
  <c r="IB54" i="26"/>
  <c r="IG53" i="26"/>
  <c r="IF53" i="26"/>
  <c r="IC53" i="26"/>
  <c r="IB53" i="26"/>
  <c r="IC27" i="26"/>
  <c r="IF27" i="26"/>
  <c r="IG27" i="26"/>
  <c r="IC28" i="26"/>
  <c r="IF28" i="26"/>
  <c r="IG28" i="26"/>
  <c r="IB28" i="26"/>
  <c r="IB27" i="26"/>
  <c r="FW10" i="26"/>
  <c r="FZ11" i="26"/>
  <c r="FY11" i="26"/>
  <c r="EF96" i="26"/>
  <c r="EB96" i="26"/>
  <c r="ED96" i="26" s="1"/>
  <c r="EA96" i="26"/>
  <c r="EC96" i="26" s="1"/>
  <c r="EE96" i="26" s="1"/>
  <c r="ED88" i="26"/>
  <c r="EC88" i="26"/>
  <c r="ED87" i="26"/>
  <c r="EC87" i="26"/>
  <c r="EC94" i="26"/>
  <c r="ED94" i="26"/>
  <c r="EC95" i="26"/>
  <c r="ED95" i="26"/>
  <c r="DY96" i="26"/>
  <c r="BC96" i="26"/>
  <c r="AY96" i="26"/>
  <c r="BA96" i="26" s="1"/>
  <c r="AX96" i="26"/>
  <c r="AZ96" i="26" s="1"/>
  <c r="BB94" i="26"/>
  <c r="BC94" i="26"/>
  <c r="AY95" i="26"/>
  <c r="AX95" i="26"/>
  <c r="AX94" i="26"/>
  <c r="N18" i="37"/>
  <c r="N17" i="37"/>
  <c r="BB81" i="26"/>
  <c r="N20" i="37"/>
  <c r="N21" i="37"/>
  <c r="N22" i="37"/>
  <c r="N6" i="37"/>
  <c r="N7" i="37"/>
  <c r="N5" i="37"/>
  <c r="N13" i="37"/>
  <c r="N14" i="37"/>
  <c r="N16" i="37"/>
  <c r="N10" i="37"/>
  <c r="X35" i="26"/>
  <c r="D77" i="26"/>
  <c r="D76" i="26"/>
  <c r="D75" i="26"/>
  <c r="AV76" i="26"/>
  <c r="AV80" i="26" s="1"/>
  <c r="AV77" i="26"/>
  <c r="AV81" i="26" s="1"/>
  <c r="AV75" i="26"/>
  <c r="AV79" i="26" s="1"/>
  <c r="P12" i="26"/>
  <c r="Q12" i="26"/>
  <c r="R12" i="26"/>
  <c r="P13" i="26"/>
  <c r="Q13" i="26"/>
  <c r="R13" i="26"/>
  <c r="P14" i="26"/>
  <c r="AZ14" i="26" s="1"/>
  <c r="Q14" i="26"/>
  <c r="R14" i="26"/>
  <c r="P15" i="26"/>
  <c r="AZ15" i="26" s="1"/>
  <c r="Q15" i="26"/>
  <c r="R15" i="26"/>
  <c r="P16" i="26"/>
  <c r="AZ16" i="26" s="1"/>
  <c r="Q16" i="26"/>
  <c r="R16" i="26"/>
  <c r="P17" i="26"/>
  <c r="AZ17" i="26" s="1"/>
  <c r="Q17" i="26"/>
  <c r="R17" i="26"/>
  <c r="P18" i="26"/>
  <c r="AZ18" i="26" s="1"/>
  <c r="Q18" i="26"/>
  <c r="R18" i="26"/>
  <c r="P19" i="26"/>
  <c r="Q19" i="26"/>
  <c r="Q91" i="26" s="1"/>
  <c r="R19" i="26"/>
  <c r="R91" i="26" s="1"/>
  <c r="P26" i="26"/>
  <c r="AZ26" i="26" s="1"/>
  <c r="Q26" i="26"/>
  <c r="R26" i="26"/>
  <c r="P27" i="26"/>
  <c r="AZ27" i="26" s="1"/>
  <c r="AG19" i="14" s="1"/>
  <c r="Q27" i="26"/>
  <c r="R27" i="26"/>
  <c r="P28" i="26"/>
  <c r="AZ28" i="26" s="1"/>
  <c r="Q28" i="26"/>
  <c r="R28" i="26"/>
  <c r="P29" i="26"/>
  <c r="Q29" i="26"/>
  <c r="HG222" i="26" s="1"/>
  <c r="HG228" i="26" s="1"/>
  <c r="HG230" i="26" s="1"/>
  <c r="R29" i="26"/>
  <c r="HH222" i="26" s="1"/>
  <c r="HH228" i="26" s="1"/>
  <c r="HH230" i="26" s="1"/>
  <c r="P30" i="26"/>
  <c r="AZ30" i="26" s="1"/>
  <c r="Q30" i="26"/>
  <c r="R30" i="26"/>
  <c r="P31" i="26"/>
  <c r="Q31" i="26"/>
  <c r="R31" i="26"/>
  <c r="P32" i="26"/>
  <c r="AZ32" i="26" s="1"/>
  <c r="Q32" i="26"/>
  <c r="R32" i="26"/>
  <c r="P33" i="26"/>
  <c r="AZ33" i="26" s="1"/>
  <c r="Q33" i="26"/>
  <c r="R33" i="26"/>
  <c r="P34" i="26"/>
  <c r="Q34" i="26"/>
  <c r="R34" i="26"/>
  <c r="P35" i="26"/>
  <c r="HF249" i="26" s="1"/>
  <c r="Q35" i="26"/>
  <c r="HG249" i="26" s="1"/>
  <c r="R35" i="26"/>
  <c r="HH249" i="26" s="1"/>
  <c r="P37" i="26"/>
  <c r="Q37" i="26"/>
  <c r="R37" i="26"/>
  <c r="P38" i="26"/>
  <c r="AZ38" i="26" s="1"/>
  <c r="Q38" i="26"/>
  <c r="R38" i="26"/>
  <c r="P40" i="26"/>
  <c r="AZ40" i="26" s="1"/>
  <c r="HT75" i="26" s="1"/>
  <c r="Q40" i="26"/>
  <c r="R40" i="26"/>
  <c r="P41" i="26"/>
  <c r="AZ41" i="26" s="1"/>
  <c r="HT76" i="26" s="1"/>
  <c r="Q41" i="26"/>
  <c r="R41" i="26"/>
  <c r="P42" i="26"/>
  <c r="AZ42" i="26" s="1"/>
  <c r="HT77" i="26" s="1"/>
  <c r="Q42" i="26"/>
  <c r="R42" i="26"/>
  <c r="P45" i="26"/>
  <c r="Q45" i="26"/>
  <c r="R45" i="26"/>
  <c r="P46" i="26"/>
  <c r="AZ46" i="26" s="1"/>
  <c r="Q46" i="26"/>
  <c r="R46" i="26"/>
  <c r="P47" i="26"/>
  <c r="AZ47" i="26" s="1"/>
  <c r="Q47" i="26"/>
  <c r="R47" i="26"/>
  <c r="P48" i="26"/>
  <c r="AZ48" i="26" s="1"/>
  <c r="Q48" i="26"/>
  <c r="R48" i="26"/>
  <c r="P49" i="26"/>
  <c r="AZ49" i="26" s="1"/>
  <c r="Q49" i="26"/>
  <c r="R49" i="26"/>
  <c r="P50" i="26"/>
  <c r="AZ50" i="26" s="1"/>
  <c r="Q50" i="26"/>
  <c r="R50" i="26"/>
  <c r="P51" i="26"/>
  <c r="AZ51" i="26" s="1"/>
  <c r="Q51" i="26"/>
  <c r="R51" i="26"/>
  <c r="P52" i="26"/>
  <c r="AZ52" i="26" s="1"/>
  <c r="Q52" i="26"/>
  <c r="R52" i="26"/>
  <c r="P53" i="26"/>
  <c r="AZ53" i="26" s="1"/>
  <c r="Q53" i="26"/>
  <c r="R53" i="26"/>
  <c r="P55" i="26"/>
  <c r="Q55" i="26"/>
  <c r="R55" i="26"/>
  <c r="P56" i="26"/>
  <c r="AZ56" i="26" s="1"/>
  <c r="Q56" i="26"/>
  <c r="R56" i="26"/>
  <c r="O56" i="26"/>
  <c r="O55" i="26"/>
  <c r="O53" i="26"/>
  <c r="O52" i="26"/>
  <c r="O51" i="26"/>
  <c r="O50" i="26"/>
  <c r="O49" i="26"/>
  <c r="O48" i="26"/>
  <c r="O47" i="26"/>
  <c r="O46" i="26"/>
  <c r="O45" i="26"/>
  <c r="O42" i="26"/>
  <c r="O41" i="26"/>
  <c r="O40" i="26"/>
  <c r="O38" i="26"/>
  <c r="O37" i="26"/>
  <c r="O35" i="26"/>
  <c r="HE249" i="26" s="1"/>
  <c r="O34" i="26"/>
  <c r="O33" i="26"/>
  <c r="O32" i="26"/>
  <c r="O31" i="26"/>
  <c r="O30" i="26"/>
  <c r="O29" i="26"/>
  <c r="HE222" i="26" s="1"/>
  <c r="HE228" i="26" s="1"/>
  <c r="HE230" i="26" s="1"/>
  <c r="O28" i="26"/>
  <c r="O27" i="26"/>
  <c r="O26" i="26"/>
  <c r="O19" i="26"/>
  <c r="O18" i="26"/>
  <c r="O17" i="26"/>
  <c r="O16" i="26"/>
  <c r="O15" i="26"/>
  <c r="O14" i="26"/>
  <c r="O13" i="26"/>
  <c r="O12" i="26"/>
  <c r="L12" i="26"/>
  <c r="M12" i="26"/>
  <c r="N12" i="26"/>
  <c r="L13" i="26"/>
  <c r="BA13" i="26" s="1"/>
  <c r="M13" i="26"/>
  <c r="N13" i="26"/>
  <c r="BC13" i="26" s="1"/>
  <c r="L14" i="26"/>
  <c r="BA14" i="26" s="1"/>
  <c r="M14" i="26"/>
  <c r="N14" i="26"/>
  <c r="BC14" i="26" s="1"/>
  <c r="L15" i="26"/>
  <c r="BA15" i="26" s="1"/>
  <c r="M15" i="26"/>
  <c r="N15" i="26"/>
  <c r="L16" i="26"/>
  <c r="BA16" i="26" s="1"/>
  <c r="M16" i="26"/>
  <c r="N16" i="26"/>
  <c r="BC16" i="26" s="1"/>
  <c r="L17" i="26"/>
  <c r="BA17" i="26" s="1"/>
  <c r="M17" i="26"/>
  <c r="N17" i="26"/>
  <c r="BC17" i="26" s="1"/>
  <c r="L18" i="26"/>
  <c r="BA18" i="26" s="1"/>
  <c r="M18" i="26"/>
  <c r="N18" i="26"/>
  <c r="BC18" i="26" s="1"/>
  <c r="L19" i="26"/>
  <c r="BA19" i="26" s="1"/>
  <c r="M19" i="26"/>
  <c r="N19" i="26"/>
  <c r="BC19" i="26" s="1"/>
  <c r="L26" i="26"/>
  <c r="BA26" i="26" s="1"/>
  <c r="M26" i="26"/>
  <c r="N26" i="26"/>
  <c r="BC26" i="26" s="1"/>
  <c r="L27" i="26"/>
  <c r="BA27" i="26" s="1"/>
  <c r="AH19" i="14" s="1"/>
  <c r="M27" i="26"/>
  <c r="N27" i="26"/>
  <c r="BC27" i="26" s="1"/>
  <c r="AJ19" i="14" s="1"/>
  <c r="L28" i="26"/>
  <c r="BA28" i="26" s="1"/>
  <c r="M28" i="26"/>
  <c r="N28" i="26"/>
  <c r="BC28" i="26" s="1"/>
  <c r="L29" i="26"/>
  <c r="M29" i="26"/>
  <c r="HC222" i="26" s="1"/>
  <c r="HC228" i="26" s="1"/>
  <c r="HC230" i="26" s="1"/>
  <c r="N29" i="26"/>
  <c r="L30" i="26"/>
  <c r="BA30" i="26" s="1"/>
  <c r="M30" i="26"/>
  <c r="N30" i="26"/>
  <c r="BC30" i="26" s="1"/>
  <c r="L31" i="26"/>
  <c r="M31" i="26"/>
  <c r="N31" i="26"/>
  <c r="L32" i="26"/>
  <c r="BA32" i="26" s="1"/>
  <c r="M32" i="26"/>
  <c r="N32" i="26"/>
  <c r="BC32" i="26" s="1"/>
  <c r="L33" i="26"/>
  <c r="BA33" i="26" s="1"/>
  <c r="M33" i="26"/>
  <c r="N33" i="26"/>
  <c r="BC33" i="26" s="1"/>
  <c r="L34" i="26"/>
  <c r="M34" i="26"/>
  <c r="N34" i="26"/>
  <c r="L35" i="26"/>
  <c r="HB249" i="26" s="1"/>
  <c r="HK249" i="26" s="1"/>
  <c r="M35" i="26"/>
  <c r="HC249" i="26" s="1"/>
  <c r="N35" i="26"/>
  <c r="HD249" i="26" s="1"/>
  <c r="L37" i="26"/>
  <c r="M37" i="26"/>
  <c r="N37" i="26"/>
  <c r="L38" i="26"/>
  <c r="BA38" i="26" s="1"/>
  <c r="M38" i="26"/>
  <c r="N38" i="26"/>
  <c r="L40" i="26"/>
  <c r="BA40" i="26" s="1"/>
  <c r="HU75" i="26" s="1"/>
  <c r="M40" i="26"/>
  <c r="N40" i="26"/>
  <c r="BC40" i="26" s="1"/>
  <c r="HW75" i="26" s="1"/>
  <c r="L41" i="26"/>
  <c r="BA41" i="26" s="1"/>
  <c r="HU76" i="26" s="1"/>
  <c r="M41" i="26"/>
  <c r="N41" i="26"/>
  <c r="BC41" i="26" s="1"/>
  <c r="HW76" i="26" s="1"/>
  <c r="L42" i="26"/>
  <c r="BA42" i="26" s="1"/>
  <c r="HU77" i="26" s="1"/>
  <c r="M42" i="26"/>
  <c r="N42" i="26"/>
  <c r="BC42" i="26" s="1"/>
  <c r="HW77" i="26" s="1"/>
  <c r="L45" i="26"/>
  <c r="M45" i="26"/>
  <c r="N45" i="26"/>
  <c r="L46" i="26"/>
  <c r="BA46" i="26" s="1"/>
  <c r="M46" i="26"/>
  <c r="N46" i="26"/>
  <c r="BC46" i="26" s="1"/>
  <c r="L47" i="26"/>
  <c r="BA47" i="26" s="1"/>
  <c r="M47" i="26"/>
  <c r="N47" i="26"/>
  <c r="BC47" i="26" s="1"/>
  <c r="L48" i="26"/>
  <c r="BA48" i="26" s="1"/>
  <c r="BJ48" i="26" s="1"/>
  <c r="M48" i="26"/>
  <c r="N48" i="26"/>
  <c r="BC48" i="26" s="1"/>
  <c r="L49" i="26"/>
  <c r="BA49" i="26" s="1"/>
  <c r="M49" i="26"/>
  <c r="N49" i="26"/>
  <c r="BC49" i="26" s="1"/>
  <c r="L50" i="26"/>
  <c r="BA50" i="26" s="1"/>
  <c r="M50" i="26"/>
  <c r="N50" i="26"/>
  <c r="BC50" i="26" s="1"/>
  <c r="L51" i="26"/>
  <c r="BA51" i="26" s="1"/>
  <c r="M51" i="26"/>
  <c r="N51" i="26"/>
  <c r="BC51" i="26" s="1"/>
  <c r="L52" i="26"/>
  <c r="BA52" i="26" s="1"/>
  <c r="M52" i="26"/>
  <c r="N52" i="26"/>
  <c r="BC52" i="26" s="1"/>
  <c r="L53" i="26"/>
  <c r="BA53" i="26" s="1"/>
  <c r="M53" i="26"/>
  <c r="N53" i="26"/>
  <c r="L55" i="26"/>
  <c r="M55" i="26"/>
  <c r="N55" i="26"/>
  <c r="L56" i="26"/>
  <c r="BA56" i="26" s="1"/>
  <c r="M56" i="26"/>
  <c r="N56" i="26"/>
  <c r="BC56" i="26" s="1"/>
  <c r="BL56" i="26" s="1"/>
  <c r="K56" i="26"/>
  <c r="K55" i="26"/>
  <c r="K53" i="26"/>
  <c r="K52" i="26"/>
  <c r="K51" i="26"/>
  <c r="K50" i="26"/>
  <c r="K49" i="26"/>
  <c r="K48" i="26"/>
  <c r="K47" i="26"/>
  <c r="K46" i="26"/>
  <c r="K45" i="26"/>
  <c r="K42" i="26"/>
  <c r="K41" i="26"/>
  <c r="K40" i="26"/>
  <c r="K38" i="26"/>
  <c r="K37" i="26"/>
  <c r="K35" i="26"/>
  <c r="HA249" i="26" s="1"/>
  <c r="K34" i="26"/>
  <c r="K33" i="26"/>
  <c r="K32" i="26"/>
  <c r="K31" i="26"/>
  <c r="K30" i="26"/>
  <c r="K29" i="26"/>
  <c r="HA222" i="26" s="1"/>
  <c r="HA228" i="26" s="1"/>
  <c r="HA230" i="26" s="1"/>
  <c r="K28" i="26"/>
  <c r="K27" i="26"/>
  <c r="K26" i="26"/>
  <c r="K19" i="26"/>
  <c r="K18" i="26"/>
  <c r="K17" i="26"/>
  <c r="K16" i="26"/>
  <c r="K15" i="26"/>
  <c r="K14" i="26"/>
  <c r="K13" i="26"/>
  <c r="K12" i="26"/>
  <c r="H12" i="26"/>
  <c r="I12" i="26"/>
  <c r="J12" i="26"/>
  <c r="H13" i="26"/>
  <c r="I13" i="26"/>
  <c r="J13" i="26"/>
  <c r="H14" i="26"/>
  <c r="I14" i="26"/>
  <c r="J14" i="26"/>
  <c r="H15" i="26"/>
  <c r="I15" i="26"/>
  <c r="J15" i="26"/>
  <c r="H16" i="26"/>
  <c r="I16" i="26"/>
  <c r="J16" i="26"/>
  <c r="H17" i="26"/>
  <c r="I17" i="26"/>
  <c r="J17" i="26"/>
  <c r="H18" i="26"/>
  <c r="I18" i="26"/>
  <c r="J18" i="26"/>
  <c r="H19" i="26"/>
  <c r="I19" i="26"/>
  <c r="J19" i="26"/>
  <c r="H26" i="26"/>
  <c r="I26" i="26"/>
  <c r="J26" i="26"/>
  <c r="H27" i="26"/>
  <c r="I27" i="26"/>
  <c r="J27" i="26"/>
  <c r="H28" i="26"/>
  <c r="I28" i="26"/>
  <c r="J28" i="26"/>
  <c r="H29" i="26"/>
  <c r="GX222" i="26" s="1"/>
  <c r="GX228" i="26" s="1"/>
  <c r="GX230" i="26" s="1"/>
  <c r="I29" i="26"/>
  <c r="GY222" i="26" s="1"/>
  <c r="GY228" i="26" s="1"/>
  <c r="GY230" i="26" s="1"/>
  <c r="J29" i="26"/>
  <c r="GZ222" i="26" s="1"/>
  <c r="GZ228" i="26" s="1"/>
  <c r="GZ230" i="26" s="1"/>
  <c r="H30" i="26"/>
  <c r="I30" i="26"/>
  <c r="J30" i="26"/>
  <c r="H31" i="26"/>
  <c r="I31" i="26"/>
  <c r="J31" i="26"/>
  <c r="H32" i="26"/>
  <c r="I32" i="26"/>
  <c r="J32" i="26"/>
  <c r="H33" i="26"/>
  <c r="I33" i="26"/>
  <c r="J33" i="26"/>
  <c r="H34" i="26"/>
  <c r="I34" i="26"/>
  <c r="J34" i="26"/>
  <c r="H35" i="26"/>
  <c r="GX249" i="26" s="1"/>
  <c r="I35" i="26"/>
  <c r="GY249" i="26" s="1"/>
  <c r="J35" i="26"/>
  <c r="GZ249" i="26" s="1"/>
  <c r="H37" i="26"/>
  <c r="I37" i="26"/>
  <c r="J37" i="26"/>
  <c r="H38" i="26"/>
  <c r="I38" i="26"/>
  <c r="J38" i="26"/>
  <c r="H40" i="26"/>
  <c r="I40" i="26"/>
  <c r="J40" i="26"/>
  <c r="H41" i="26"/>
  <c r="I41" i="26"/>
  <c r="J41" i="26"/>
  <c r="H42" i="26"/>
  <c r="I42" i="26"/>
  <c r="J42" i="26"/>
  <c r="H45" i="26"/>
  <c r="I45" i="26"/>
  <c r="J45" i="26"/>
  <c r="H46" i="26"/>
  <c r="I46" i="26"/>
  <c r="J46" i="26"/>
  <c r="H47" i="26"/>
  <c r="I47" i="26"/>
  <c r="J47" i="26"/>
  <c r="H48" i="26"/>
  <c r="I48" i="26"/>
  <c r="J48" i="26"/>
  <c r="H49" i="26"/>
  <c r="I49" i="26"/>
  <c r="J49" i="26"/>
  <c r="H50" i="26"/>
  <c r="I50" i="26"/>
  <c r="J50" i="26"/>
  <c r="H51" i="26"/>
  <c r="I51" i="26"/>
  <c r="J51" i="26"/>
  <c r="H52" i="26"/>
  <c r="I52" i="26"/>
  <c r="J52" i="26"/>
  <c r="H53" i="26"/>
  <c r="I53" i="26"/>
  <c r="J53" i="26"/>
  <c r="H55" i="26"/>
  <c r="I55" i="26"/>
  <c r="J55" i="26"/>
  <c r="H56" i="26"/>
  <c r="I56" i="26"/>
  <c r="J56" i="26"/>
  <c r="G56" i="26"/>
  <c r="G55" i="26"/>
  <c r="G53" i="26"/>
  <c r="G52" i="26"/>
  <c r="G51" i="26"/>
  <c r="G50" i="26"/>
  <c r="G49" i="26"/>
  <c r="G48" i="26"/>
  <c r="G47" i="26"/>
  <c r="G46" i="26"/>
  <c r="G45" i="26"/>
  <c r="G42" i="26"/>
  <c r="G41" i="26"/>
  <c r="G40" i="26"/>
  <c r="G38" i="26"/>
  <c r="G37" i="26"/>
  <c r="G35" i="26"/>
  <c r="G34" i="26"/>
  <c r="G33" i="26"/>
  <c r="G32" i="26"/>
  <c r="G31" i="26"/>
  <c r="G30" i="26"/>
  <c r="G29" i="26"/>
  <c r="GW222" i="26" s="1"/>
  <c r="GW228" i="26" s="1"/>
  <c r="GW230" i="26" s="1"/>
  <c r="G28" i="26"/>
  <c r="G27" i="26"/>
  <c r="G26" i="26"/>
  <c r="G19" i="26"/>
  <c r="G18" i="26"/>
  <c r="G17" i="26"/>
  <c r="G16" i="26"/>
  <c r="G15" i="26"/>
  <c r="G14" i="26"/>
  <c r="G13" i="26"/>
  <c r="G12" i="26"/>
  <c r="AC12" i="26"/>
  <c r="AD12" i="26"/>
  <c r="AE12" i="26"/>
  <c r="AC13" i="26"/>
  <c r="AD13" i="26"/>
  <c r="CU13" i="26" s="1"/>
  <c r="DV13" i="26" s="1"/>
  <c r="AE13" i="26"/>
  <c r="CV13" i="26" s="1"/>
  <c r="DW13" i="26" s="1"/>
  <c r="AC14" i="26"/>
  <c r="AD14" i="26"/>
  <c r="AE14" i="26"/>
  <c r="AC15" i="26"/>
  <c r="CT15" i="26" s="1"/>
  <c r="DU15" i="26" s="1"/>
  <c r="AD15" i="26"/>
  <c r="CU15" i="26" s="1"/>
  <c r="DV15" i="26" s="1"/>
  <c r="AE15" i="26"/>
  <c r="CV15" i="26" s="1"/>
  <c r="DW15" i="26" s="1"/>
  <c r="AC16" i="26"/>
  <c r="AD16" i="26"/>
  <c r="AE16" i="26"/>
  <c r="AC17" i="26"/>
  <c r="DU17" i="26" s="1"/>
  <c r="AD17" i="26"/>
  <c r="DV17" i="26" s="1"/>
  <c r="AE17" i="26"/>
  <c r="DW17" i="26" s="1"/>
  <c r="AC18" i="26"/>
  <c r="CT18" i="26" s="1"/>
  <c r="DU18" i="26" s="1"/>
  <c r="AD18" i="26"/>
  <c r="CU18" i="26" s="1"/>
  <c r="DV18" i="26" s="1"/>
  <c r="AE18" i="26"/>
  <c r="CV18" i="26" s="1"/>
  <c r="DW18" i="26" s="1"/>
  <c r="AC19" i="26"/>
  <c r="HF56" i="26" s="1"/>
  <c r="HJ56" i="26" s="1"/>
  <c r="AD19" i="26"/>
  <c r="HG56" i="26" s="1"/>
  <c r="AE19" i="26"/>
  <c r="HH56" i="26" s="1"/>
  <c r="AC26" i="26"/>
  <c r="CT26" i="26" s="1"/>
  <c r="AD26" i="26"/>
  <c r="CU26" i="26" s="1"/>
  <c r="AE26" i="26"/>
  <c r="CV26" i="26" s="1"/>
  <c r="AC27" i="26"/>
  <c r="CT27" i="26" s="1"/>
  <c r="DU27" i="26" s="1"/>
  <c r="AD27" i="26"/>
  <c r="CU27" i="26" s="1"/>
  <c r="DV27" i="26" s="1"/>
  <c r="AE27" i="26"/>
  <c r="CV27" i="26" s="1"/>
  <c r="DW27" i="26" s="1"/>
  <c r="AC28" i="26"/>
  <c r="AD28" i="26"/>
  <c r="AE28" i="26"/>
  <c r="AC29" i="26"/>
  <c r="HF60" i="26" s="1"/>
  <c r="HJ60" i="26" s="1"/>
  <c r="AD29" i="26"/>
  <c r="HG60" i="26" s="1"/>
  <c r="AE29" i="26"/>
  <c r="HH60" i="26" s="1"/>
  <c r="AC30" i="26"/>
  <c r="AD30" i="26"/>
  <c r="AE30" i="26"/>
  <c r="AC31" i="26"/>
  <c r="HF288" i="26" s="1"/>
  <c r="AD31" i="26"/>
  <c r="HG288" i="26" s="1"/>
  <c r="AE31" i="26"/>
  <c r="HH288" i="26" s="1"/>
  <c r="AC32" i="26"/>
  <c r="AD32" i="26"/>
  <c r="CU32" i="26" s="1"/>
  <c r="DV32" i="26" s="1"/>
  <c r="AE32" i="26"/>
  <c r="CV32" i="26" s="1"/>
  <c r="DW32" i="26" s="1"/>
  <c r="AC33" i="26"/>
  <c r="AD33" i="26"/>
  <c r="AE33" i="26"/>
  <c r="AC34" i="26"/>
  <c r="HF289" i="26" s="1"/>
  <c r="HF295" i="26" s="1"/>
  <c r="AD34" i="26"/>
  <c r="HG289" i="26" s="1"/>
  <c r="HG295" i="26" s="1"/>
  <c r="AE34" i="26"/>
  <c r="HH289" i="26" s="1"/>
  <c r="HH295" i="26" s="1"/>
  <c r="AC35" i="26"/>
  <c r="AD35" i="26"/>
  <c r="AE35" i="26"/>
  <c r="AC37" i="26"/>
  <c r="AD37" i="26"/>
  <c r="AE37" i="26"/>
  <c r="AC38" i="26"/>
  <c r="CT67" i="26" s="1"/>
  <c r="AD38" i="26"/>
  <c r="AE38" i="26"/>
  <c r="AC40" i="26"/>
  <c r="AD40" i="26"/>
  <c r="AE40" i="26"/>
  <c r="AC41" i="26"/>
  <c r="AD41" i="26"/>
  <c r="AE41" i="26"/>
  <c r="AC42" i="26"/>
  <c r="AD42" i="26"/>
  <c r="AE42" i="26"/>
  <c r="AC45" i="26"/>
  <c r="AD45" i="26"/>
  <c r="AE45" i="26"/>
  <c r="AC46" i="26"/>
  <c r="AD46" i="26"/>
  <c r="AE46" i="26"/>
  <c r="AC47" i="26"/>
  <c r="CT47" i="26" s="1"/>
  <c r="AD47" i="26"/>
  <c r="CU47" i="26" s="1"/>
  <c r="DV47" i="26" s="1"/>
  <c r="AE47" i="26"/>
  <c r="CV47" i="26" s="1"/>
  <c r="DW47" i="26" s="1"/>
  <c r="AC48" i="26"/>
  <c r="CT48" i="26" s="1"/>
  <c r="AD48" i="26"/>
  <c r="CU48" i="26" s="1"/>
  <c r="DV48" i="26" s="1"/>
  <c r="AE48" i="26"/>
  <c r="CV48" i="26" s="1"/>
  <c r="DW48" i="26" s="1"/>
  <c r="AC50" i="26"/>
  <c r="AD50" i="26"/>
  <c r="AE50" i="26"/>
  <c r="AC55" i="26"/>
  <c r="AD55" i="26"/>
  <c r="AE55" i="26"/>
  <c r="AC56" i="26"/>
  <c r="AD56" i="26"/>
  <c r="AE56" i="26"/>
  <c r="AB56" i="26"/>
  <c r="AB55" i="26"/>
  <c r="AB50" i="26"/>
  <c r="AB48" i="26"/>
  <c r="CS48" i="26" s="1"/>
  <c r="AB47" i="26"/>
  <c r="CS47" i="26" s="1"/>
  <c r="AB46" i="26"/>
  <c r="AB45" i="26"/>
  <c r="AB42" i="26"/>
  <c r="AB41" i="26"/>
  <c r="AB40" i="26"/>
  <c r="AB38" i="26"/>
  <c r="CS67" i="26" s="1"/>
  <c r="AB37" i="26"/>
  <c r="AB35" i="26"/>
  <c r="AB34" i="26"/>
  <c r="HE289" i="26" s="1"/>
  <c r="HE295" i="26" s="1"/>
  <c r="AB33" i="26"/>
  <c r="AB32" i="26"/>
  <c r="CS32" i="26" s="1"/>
  <c r="DT32" i="26" s="1"/>
  <c r="AB31" i="26"/>
  <c r="HE288" i="26" s="1"/>
  <c r="AB30" i="26"/>
  <c r="AB29" i="26"/>
  <c r="HE60" i="26" s="1"/>
  <c r="AB28" i="26"/>
  <c r="AB27" i="26"/>
  <c r="CS27" i="26" s="1"/>
  <c r="DT27" i="26" s="1"/>
  <c r="AB26" i="26"/>
  <c r="CS26" i="26" s="1"/>
  <c r="AB19" i="26"/>
  <c r="HE56" i="26" s="1"/>
  <c r="AB18" i="26"/>
  <c r="CS18" i="26" s="1"/>
  <c r="DT18" i="26" s="1"/>
  <c r="AB17" i="26"/>
  <c r="DT17" i="26" s="1"/>
  <c r="AB16" i="26"/>
  <c r="AB15" i="26"/>
  <c r="CS15" i="26" s="1"/>
  <c r="DT15" i="26" s="1"/>
  <c r="AB14" i="26"/>
  <c r="AB13" i="26"/>
  <c r="AB12" i="26"/>
  <c r="Y12" i="26"/>
  <c r="Z12" i="26"/>
  <c r="AA12" i="26"/>
  <c r="Y13" i="26"/>
  <c r="Z13" i="26"/>
  <c r="AA13" i="26"/>
  <c r="Y14" i="26"/>
  <c r="Z14" i="26"/>
  <c r="AA14" i="26"/>
  <c r="Y15" i="26"/>
  <c r="CP15" i="26" s="1"/>
  <c r="DQ15" i="26" s="1"/>
  <c r="Z15" i="26"/>
  <c r="CQ15" i="26" s="1"/>
  <c r="DR15" i="26" s="1"/>
  <c r="AA15" i="26"/>
  <c r="CR15" i="26" s="1"/>
  <c r="DS15" i="26" s="1"/>
  <c r="Y16" i="26"/>
  <c r="Z16" i="26"/>
  <c r="AA16" i="26"/>
  <c r="Y17" i="26"/>
  <c r="DQ17" i="26" s="1"/>
  <c r="Z17" i="26"/>
  <c r="DR17" i="26" s="1"/>
  <c r="AA17" i="26"/>
  <c r="DS17" i="26" s="1"/>
  <c r="Y18" i="26"/>
  <c r="CP18" i="26" s="1"/>
  <c r="DQ18" i="26" s="1"/>
  <c r="Z18" i="26"/>
  <c r="CQ18" i="26" s="1"/>
  <c r="DR18" i="26" s="1"/>
  <c r="AA18" i="26"/>
  <c r="CR18" i="26" s="1"/>
  <c r="DS18" i="26" s="1"/>
  <c r="Y19" i="26"/>
  <c r="HB56" i="26" s="1"/>
  <c r="HK56" i="26" s="1"/>
  <c r="Z19" i="26"/>
  <c r="HC56" i="26" s="1"/>
  <c r="AA19" i="26"/>
  <c r="HD56" i="26" s="1"/>
  <c r="Y26" i="26"/>
  <c r="CP26" i="26" s="1"/>
  <c r="Z26" i="26"/>
  <c r="CQ26" i="26" s="1"/>
  <c r="AA26" i="26"/>
  <c r="CR26" i="26" s="1"/>
  <c r="Y27" i="26"/>
  <c r="CP27" i="26" s="1"/>
  <c r="DQ27" i="26" s="1"/>
  <c r="Z27" i="26"/>
  <c r="CQ27" i="26" s="1"/>
  <c r="DR27" i="26" s="1"/>
  <c r="AA27" i="26"/>
  <c r="CR27" i="26" s="1"/>
  <c r="DS27" i="26" s="1"/>
  <c r="Y28" i="26"/>
  <c r="Z28" i="26"/>
  <c r="AA28" i="26"/>
  <c r="Y29" i="26"/>
  <c r="HB60" i="26" s="1"/>
  <c r="HK60" i="26" s="1"/>
  <c r="Z29" i="26"/>
  <c r="HC60" i="26" s="1"/>
  <c r="AA29" i="26"/>
  <c r="HD60" i="26" s="1"/>
  <c r="Y30" i="26"/>
  <c r="Z30" i="26"/>
  <c r="AA30" i="26"/>
  <c r="Y31" i="26"/>
  <c r="HB288" i="26" s="1"/>
  <c r="Z31" i="26"/>
  <c r="HC288" i="26" s="1"/>
  <c r="AA31" i="26"/>
  <c r="HD288" i="26" s="1"/>
  <c r="Y32" i="26"/>
  <c r="CP32" i="26" s="1"/>
  <c r="DQ32" i="26" s="1"/>
  <c r="Z32" i="26"/>
  <c r="CQ32" i="26" s="1"/>
  <c r="DR32" i="26" s="1"/>
  <c r="AA32" i="26"/>
  <c r="CR32" i="26" s="1"/>
  <c r="DS32" i="26" s="1"/>
  <c r="Y33" i="26"/>
  <c r="Z33" i="26"/>
  <c r="AA33" i="26"/>
  <c r="Y34" i="26"/>
  <c r="HB289" i="26" s="1"/>
  <c r="HB295" i="26" s="1"/>
  <c r="Z34" i="26"/>
  <c r="HC289" i="26" s="1"/>
  <c r="HC295" i="26" s="1"/>
  <c r="AA34" i="26"/>
  <c r="HD289" i="26" s="1"/>
  <c r="HD295" i="26" s="1"/>
  <c r="Y35" i="26"/>
  <c r="Z35" i="26"/>
  <c r="AA35" i="26"/>
  <c r="Y37" i="26"/>
  <c r="Z37" i="26"/>
  <c r="AA37" i="26"/>
  <c r="Y38" i="26"/>
  <c r="CP67" i="26" s="1"/>
  <c r="Z38" i="26"/>
  <c r="CQ67" i="26" s="1"/>
  <c r="AA38" i="26"/>
  <c r="CR67" i="26" s="1"/>
  <c r="Y40" i="26"/>
  <c r="Z40" i="26"/>
  <c r="AA40" i="26"/>
  <c r="Y41" i="26"/>
  <c r="Z41" i="26"/>
  <c r="AA41" i="26"/>
  <c r="Y42" i="26"/>
  <c r="Z42" i="26"/>
  <c r="AA42" i="26"/>
  <c r="Y45" i="26"/>
  <c r="Z45" i="26"/>
  <c r="AA45" i="26"/>
  <c r="Y46" i="26"/>
  <c r="Z46" i="26"/>
  <c r="AA46" i="26"/>
  <c r="Y47" i="26"/>
  <c r="CP47" i="26" s="1"/>
  <c r="Z47" i="26"/>
  <c r="CQ47" i="26" s="1"/>
  <c r="AA47" i="26"/>
  <c r="CR47" i="26" s="1"/>
  <c r="DS47" i="26" s="1"/>
  <c r="Y48" i="26"/>
  <c r="CP48" i="26" s="1"/>
  <c r="Z48" i="26"/>
  <c r="CQ48" i="26" s="1"/>
  <c r="AA48" i="26"/>
  <c r="CR48" i="26" s="1"/>
  <c r="DS48" i="26" s="1"/>
  <c r="Y50" i="26"/>
  <c r="Z50" i="26"/>
  <c r="AA50" i="26"/>
  <c r="Y55" i="26"/>
  <c r="Z55" i="26"/>
  <c r="AA55" i="26"/>
  <c r="Y56" i="26"/>
  <c r="Z56" i="26"/>
  <c r="AA56" i="26"/>
  <c r="X56" i="26"/>
  <c r="X55" i="26"/>
  <c r="X50" i="26"/>
  <c r="X48" i="26"/>
  <c r="CO48" i="26" s="1"/>
  <c r="X47" i="26"/>
  <c r="CO47" i="26" s="1"/>
  <c r="X46" i="26"/>
  <c r="X45" i="26"/>
  <c r="X42" i="26"/>
  <c r="X41" i="26"/>
  <c r="X40" i="26"/>
  <c r="X38" i="26"/>
  <c r="CO67" i="26" s="1"/>
  <c r="X37" i="26"/>
  <c r="X34" i="26"/>
  <c r="HA289" i="26" s="1"/>
  <c r="HA295" i="26" s="1"/>
  <c r="X33" i="26"/>
  <c r="X32" i="26"/>
  <c r="CO32" i="26" s="1"/>
  <c r="DP32" i="26" s="1"/>
  <c r="X31" i="26"/>
  <c r="HA288" i="26" s="1"/>
  <c r="X30" i="26"/>
  <c r="X29" i="26"/>
  <c r="HA60" i="26" s="1"/>
  <c r="X28" i="26"/>
  <c r="X27" i="26"/>
  <c r="CO27" i="26" s="1"/>
  <c r="DP27" i="26" s="1"/>
  <c r="X26" i="26"/>
  <c r="CO26" i="26" s="1"/>
  <c r="X19" i="26"/>
  <c r="HA56" i="26" s="1"/>
  <c r="X18" i="26"/>
  <c r="CO18" i="26" s="1"/>
  <c r="DP18" i="26" s="1"/>
  <c r="X17" i="26"/>
  <c r="DP17" i="26" s="1"/>
  <c r="X16" i="26"/>
  <c r="X15" i="26"/>
  <c r="CO15" i="26" s="1"/>
  <c r="DP15" i="26" s="1"/>
  <c r="X14" i="26"/>
  <c r="X13" i="26"/>
  <c r="X12" i="26"/>
  <c r="U12" i="26"/>
  <c r="V12" i="26"/>
  <c r="W12" i="26"/>
  <c r="U13" i="26"/>
  <c r="V13" i="26"/>
  <c r="W13" i="26"/>
  <c r="U14" i="26"/>
  <c r="V14" i="26"/>
  <c r="W14" i="26"/>
  <c r="U15" i="26"/>
  <c r="CL15" i="26" s="1"/>
  <c r="DM15" i="26" s="1"/>
  <c r="V15" i="26"/>
  <c r="CM15" i="26" s="1"/>
  <c r="DN15" i="26" s="1"/>
  <c r="W15" i="26"/>
  <c r="CN15" i="26" s="1"/>
  <c r="DO15" i="26" s="1"/>
  <c r="U16" i="26"/>
  <c r="V16" i="26"/>
  <c r="W16" i="26"/>
  <c r="U17" i="26"/>
  <c r="DM17" i="26" s="1"/>
  <c r="V17" i="26"/>
  <c r="DN17" i="26" s="1"/>
  <c r="W17" i="26"/>
  <c r="DO17" i="26" s="1"/>
  <c r="U18" i="26"/>
  <c r="CL18" i="26" s="1"/>
  <c r="DM18" i="26" s="1"/>
  <c r="V18" i="26"/>
  <c r="CM18" i="26" s="1"/>
  <c r="DN18" i="26" s="1"/>
  <c r="W18" i="26"/>
  <c r="CN18" i="26" s="1"/>
  <c r="DO18" i="26" s="1"/>
  <c r="U19" i="26"/>
  <c r="GX56" i="26" s="1"/>
  <c r="V19" i="26"/>
  <c r="GY56" i="26" s="1"/>
  <c r="W19" i="26"/>
  <c r="GZ56" i="26" s="1"/>
  <c r="U26" i="26"/>
  <c r="CL26" i="26" s="1"/>
  <c r="V26" i="26"/>
  <c r="CM26" i="26" s="1"/>
  <c r="DN26" i="26" s="1"/>
  <c r="W26" i="26"/>
  <c r="CN26" i="26" s="1"/>
  <c r="U27" i="26"/>
  <c r="CL27" i="26" s="1"/>
  <c r="DM27" i="26" s="1"/>
  <c r="V27" i="26"/>
  <c r="CM27" i="26" s="1"/>
  <c r="W27" i="26"/>
  <c r="CN27" i="26" s="1"/>
  <c r="DO27" i="26" s="1"/>
  <c r="U28" i="26"/>
  <c r="V28" i="26"/>
  <c r="W28" i="26"/>
  <c r="U29" i="26"/>
  <c r="GX60" i="26" s="1"/>
  <c r="V29" i="26"/>
  <c r="GY60" i="26" s="1"/>
  <c r="W29" i="26"/>
  <c r="GZ60" i="26" s="1"/>
  <c r="U30" i="26"/>
  <c r="V30" i="26"/>
  <c r="W30" i="26"/>
  <c r="U31" i="26"/>
  <c r="GX288" i="26" s="1"/>
  <c r="V31" i="26"/>
  <c r="GY288" i="26" s="1"/>
  <c r="W31" i="26"/>
  <c r="GZ288" i="26" s="1"/>
  <c r="U32" i="26"/>
  <c r="CL32" i="26" s="1"/>
  <c r="DM32" i="26" s="1"/>
  <c r="V32" i="26"/>
  <c r="CM32" i="26" s="1"/>
  <c r="DN32" i="26" s="1"/>
  <c r="W32" i="26"/>
  <c r="CN32" i="26" s="1"/>
  <c r="DO32" i="26" s="1"/>
  <c r="U33" i="26"/>
  <c r="V33" i="26"/>
  <c r="W33" i="26"/>
  <c r="U34" i="26"/>
  <c r="GX289" i="26" s="1"/>
  <c r="GX295" i="26" s="1"/>
  <c r="V34" i="26"/>
  <c r="GY289" i="26" s="1"/>
  <c r="GY295" i="26" s="1"/>
  <c r="W34" i="26"/>
  <c r="GZ289" i="26" s="1"/>
  <c r="GZ295" i="26" s="1"/>
  <c r="U35" i="26"/>
  <c r="V35" i="26"/>
  <c r="W35" i="26"/>
  <c r="U37" i="26"/>
  <c r="V37" i="26"/>
  <c r="W37" i="26"/>
  <c r="U38" i="26"/>
  <c r="CL67" i="26" s="1"/>
  <c r="V38" i="26"/>
  <c r="CM67" i="26" s="1"/>
  <c r="W38" i="26"/>
  <c r="CN67" i="26" s="1"/>
  <c r="U40" i="26"/>
  <c r="V40" i="26"/>
  <c r="W40" i="26"/>
  <c r="U41" i="26"/>
  <c r="V41" i="26"/>
  <c r="W41" i="26"/>
  <c r="U42" i="26"/>
  <c r="V42" i="26"/>
  <c r="W42" i="26"/>
  <c r="U45" i="26"/>
  <c r="V45" i="26"/>
  <c r="W45" i="26"/>
  <c r="U46" i="26"/>
  <c r="V46" i="26"/>
  <c r="W46" i="26"/>
  <c r="U47" i="26"/>
  <c r="CL47" i="26" s="1"/>
  <c r="DM47" i="26" s="1"/>
  <c r="V47" i="26"/>
  <c r="CM47" i="26" s="1"/>
  <c r="W47" i="26"/>
  <c r="CN47" i="26" s="1"/>
  <c r="DO47" i="26" s="1"/>
  <c r="U48" i="26"/>
  <c r="CL48" i="26" s="1"/>
  <c r="DM48" i="26" s="1"/>
  <c r="V48" i="26"/>
  <c r="CM48" i="26" s="1"/>
  <c r="DN48" i="26" s="1"/>
  <c r="W48" i="26"/>
  <c r="CN48" i="26" s="1"/>
  <c r="U50" i="26"/>
  <c r="V50" i="26"/>
  <c r="W50" i="26"/>
  <c r="U55" i="26"/>
  <c r="V55" i="26"/>
  <c r="W55" i="26"/>
  <c r="U56" i="26"/>
  <c r="V56" i="26"/>
  <c r="W56" i="26"/>
  <c r="T16" i="26"/>
  <c r="T17" i="26"/>
  <c r="DL17" i="26" s="1"/>
  <c r="T18" i="26"/>
  <c r="T19" i="26"/>
  <c r="T15" i="26"/>
  <c r="CK15" i="26" s="1"/>
  <c r="DL15" i="26" s="1"/>
  <c r="T13" i="26"/>
  <c r="T14" i="26"/>
  <c r="T12" i="26"/>
  <c r="GW12" i="26" s="1"/>
  <c r="GW22" i="26" s="1"/>
  <c r="T56" i="26"/>
  <c r="T55" i="26"/>
  <c r="T50" i="26"/>
  <c r="T51" i="26" s="1"/>
  <c r="T46" i="26"/>
  <c r="T47" i="26"/>
  <c r="T48" i="26"/>
  <c r="T45" i="26"/>
  <c r="T41" i="26"/>
  <c r="T42" i="26"/>
  <c r="T40" i="26"/>
  <c r="T38" i="26"/>
  <c r="T37" i="26"/>
  <c r="T32" i="26"/>
  <c r="CK32" i="26" s="1"/>
  <c r="DL32" i="26" s="1"/>
  <c r="T33" i="26"/>
  <c r="T34" i="26"/>
  <c r="T35" i="26"/>
  <c r="T31" i="26"/>
  <c r="GW288" i="26" s="1"/>
  <c r="T30" i="26"/>
  <c r="T29" i="26"/>
  <c r="T27" i="26"/>
  <c r="T28" i="26"/>
  <c r="T26" i="26"/>
  <c r="J17" i="45" l="1"/>
  <c r="J115" i="45" s="1"/>
  <c r="J83" i="45"/>
  <c r="J85" i="45" s="1"/>
  <c r="K83" i="45"/>
  <c r="K85" i="45" s="1"/>
  <c r="K17" i="45"/>
  <c r="K115" i="45" s="1"/>
  <c r="HL343" i="26"/>
  <c r="HL380" i="26" s="1"/>
  <c r="HJ343" i="26"/>
  <c r="HJ380" i="26" s="1"/>
  <c r="HK343" i="26"/>
  <c r="HK380" i="26" s="1"/>
  <c r="HO343" i="26"/>
  <c r="HO380" i="26" s="1"/>
  <c r="HN343" i="26"/>
  <c r="HN380" i="26" s="1"/>
  <c r="HM343" i="26"/>
  <c r="HM380" i="26" s="1"/>
  <c r="HH286" i="26"/>
  <c r="HH370" i="26" s="1"/>
  <c r="CV67" i="26"/>
  <c r="HG286" i="26"/>
  <c r="HG370" i="26" s="1"/>
  <c r="CU67" i="26"/>
  <c r="GW286" i="26"/>
  <c r="CK67" i="26"/>
  <c r="DL39" i="26" s="1"/>
  <c r="HD286" i="26"/>
  <c r="HD370" i="26" s="1"/>
  <c r="DS39" i="26"/>
  <c r="GX286" i="26"/>
  <c r="DM39" i="26"/>
  <c r="HC286" i="26"/>
  <c r="DR39" i="26"/>
  <c r="GY286" i="26"/>
  <c r="DN39" i="26"/>
  <c r="HB286" i="26"/>
  <c r="DQ39" i="26"/>
  <c r="HF286" i="26"/>
  <c r="HF75" i="26" s="1"/>
  <c r="DU39" i="26"/>
  <c r="HA286" i="26"/>
  <c r="HA75" i="26" s="1"/>
  <c r="DP39" i="26"/>
  <c r="HE286" i="26"/>
  <c r="DT39" i="26"/>
  <c r="GZ286" i="26"/>
  <c r="DO39" i="26"/>
  <c r="HE290" i="26"/>
  <c r="HE248" i="26"/>
  <c r="HE357" i="26" s="1"/>
  <c r="CT32" i="26"/>
  <c r="DU32" i="26" s="1"/>
  <c r="AX32" i="26"/>
  <c r="HD290" i="26"/>
  <c r="HD248" i="26"/>
  <c r="HD357" i="26" s="1"/>
  <c r="HH290" i="26"/>
  <c r="HH248" i="26"/>
  <c r="HH357" i="26" s="1"/>
  <c r="HA290" i="26"/>
  <c r="HA248" i="26"/>
  <c r="HA357" i="26" s="1"/>
  <c r="GX290" i="26"/>
  <c r="GX248" i="26"/>
  <c r="GX357" i="26" s="1"/>
  <c r="EY34" i="26"/>
  <c r="FX16" i="26" s="1"/>
  <c r="K7" i="45" s="1"/>
  <c r="GZ290" i="26"/>
  <c r="GZ248" i="26"/>
  <c r="GZ357" i="26" s="1"/>
  <c r="HC290" i="26"/>
  <c r="HC248" i="26"/>
  <c r="HC357" i="26" s="1"/>
  <c r="HG290" i="26"/>
  <c r="HG248" i="26"/>
  <c r="HG357" i="26" s="1"/>
  <c r="GY290" i="26"/>
  <c r="GY248" i="26"/>
  <c r="GY357" i="26" s="1"/>
  <c r="HB290" i="26"/>
  <c r="HB248" i="26"/>
  <c r="HF290" i="26"/>
  <c r="HF248" i="26"/>
  <c r="HF357" i="26" s="1"/>
  <c r="HJ249" i="26"/>
  <c r="HF251" i="26"/>
  <c r="HF253" i="26" s="1"/>
  <c r="HF361" i="26" s="1"/>
  <c r="CL16" i="26"/>
  <c r="DM16" i="26" s="1"/>
  <c r="CP16" i="26"/>
  <c r="DQ16" i="26" s="1"/>
  <c r="CT16" i="26"/>
  <c r="DU16" i="26" s="1"/>
  <c r="P64" i="26"/>
  <c r="CS16" i="26"/>
  <c r="DT16" i="26" s="1"/>
  <c r="CO16" i="26"/>
  <c r="DP16" i="26" s="1"/>
  <c r="J64" i="26"/>
  <c r="J65" i="26"/>
  <c r="G65" i="26"/>
  <c r="CM16" i="26"/>
  <c r="DN16" i="26" s="1"/>
  <c r="M63" i="26"/>
  <c r="T63" i="26"/>
  <c r="P60" i="26"/>
  <c r="R65" i="26"/>
  <c r="CR16" i="26"/>
  <c r="DS16" i="26" s="1"/>
  <c r="H61" i="26"/>
  <c r="H62" i="26"/>
  <c r="Y57" i="26"/>
  <c r="CP28" i="26"/>
  <c r="DQ28" i="26" s="1"/>
  <c r="DQ26" i="26"/>
  <c r="BC37" i="26"/>
  <c r="N63" i="26"/>
  <c r="HA12" i="26"/>
  <c r="X60" i="26"/>
  <c r="CO12" i="26"/>
  <c r="DP47" i="26"/>
  <c r="ED47" i="26"/>
  <c r="EP47" i="26" s="1"/>
  <c r="EF47" i="26"/>
  <c r="ER47" i="26" s="1"/>
  <c r="BB38" i="26"/>
  <c r="DT47" i="26"/>
  <c r="EC47" i="26"/>
  <c r="EO47" i="26" s="1"/>
  <c r="AD51" i="26"/>
  <c r="CU50" i="26"/>
  <c r="J60" i="26"/>
  <c r="Q65" i="26"/>
  <c r="O63" i="26"/>
  <c r="H64" i="26"/>
  <c r="M61" i="26"/>
  <c r="M62" i="26"/>
  <c r="R63" i="26"/>
  <c r="DO48" i="26"/>
  <c r="W63" i="26"/>
  <c r="K60" i="26"/>
  <c r="L62" i="26"/>
  <c r="L61" i="26"/>
  <c r="O64" i="26"/>
  <c r="Q63" i="26"/>
  <c r="V63" i="26"/>
  <c r="EB48" i="26"/>
  <c r="EN48" i="26" s="1"/>
  <c r="DQ48" i="26"/>
  <c r="Y63" i="26"/>
  <c r="AB61" i="26"/>
  <c r="EA48" i="26"/>
  <c r="DU48" i="26"/>
  <c r="AC63" i="26"/>
  <c r="I65" i="26"/>
  <c r="BC55" i="26"/>
  <c r="N64" i="26"/>
  <c r="N60" i="26"/>
  <c r="AZ37" i="26"/>
  <c r="P63" i="26"/>
  <c r="CK16" i="26"/>
  <c r="DL16" i="26" s="1"/>
  <c r="U63" i="26"/>
  <c r="X63" i="26"/>
  <c r="AA61" i="26"/>
  <c r="AB63" i="26"/>
  <c r="AE61" i="26"/>
  <c r="H65" i="26"/>
  <c r="M64" i="26"/>
  <c r="M60" i="26"/>
  <c r="R62" i="26"/>
  <c r="R61" i="26"/>
  <c r="X61" i="26"/>
  <c r="CM46" i="26"/>
  <c r="DN46" i="26" s="1"/>
  <c r="V49" i="26"/>
  <c r="GY12" i="26"/>
  <c r="GY59" i="26" s="1"/>
  <c r="V60" i="26"/>
  <c r="CM12" i="26"/>
  <c r="CP46" i="26"/>
  <c r="Y49" i="26"/>
  <c r="CT46" i="26"/>
  <c r="AC49" i="26"/>
  <c r="CT28" i="26"/>
  <c r="DU28" i="26" s="1"/>
  <c r="DU26" i="26"/>
  <c r="HF12" i="26"/>
  <c r="HF22" i="26" s="1"/>
  <c r="CT12" i="26"/>
  <c r="AC60" i="26"/>
  <c r="CL28" i="26"/>
  <c r="DM28" i="26" s="1"/>
  <c r="DM26" i="26"/>
  <c r="CO46" i="26"/>
  <c r="X49" i="26"/>
  <c r="K64" i="26"/>
  <c r="BA37" i="26"/>
  <c r="L63" i="26"/>
  <c r="O62" i="26"/>
  <c r="O61" i="26"/>
  <c r="DP48" i="26"/>
  <c r="ED48" i="26"/>
  <c r="EP48" i="26" s="1"/>
  <c r="EF48" i="26"/>
  <c r="ER48" i="26" s="1"/>
  <c r="AC51" i="26"/>
  <c r="CT50" i="26"/>
  <c r="I60" i="26"/>
  <c r="N62" i="26"/>
  <c r="N61" i="26"/>
  <c r="AA63" i="26"/>
  <c r="AE63" i="26"/>
  <c r="K65" i="26"/>
  <c r="DR48" i="26"/>
  <c r="EE48" i="26"/>
  <c r="EQ48" i="26" s="1"/>
  <c r="BB37" i="26"/>
  <c r="Z63" i="26"/>
  <c r="AB57" i="26"/>
  <c r="W61" i="26"/>
  <c r="BA55" i="26"/>
  <c r="BJ55" i="26" s="1"/>
  <c r="L64" i="26"/>
  <c r="O65" i="26"/>
  <c r="Q61" i="26"/>
  <c r="Q62" i="26"/>
  <c r="V61" i="26"/>
  <c r="CM28" i="26"/>
  <c r="DN28" i="26" s="1"/>
  <c r="DN27" i="26"/>
  <c r="DQ47" i="26"/>
  <c r="EB47" i="26"/>
  <c r="EN47" i="26" s="1"/>
  <c r="Y61" i="26"/>
  <c r="CS28" i="26"/>
  <c r="DT28" i="26" s="1"/>
  <c r="DT26" i="26"/>
  <c r="BB56" i="26"/>
  <c r="DU47" i="26"/>
  <c r="EA47" i="26"/>
  <c r="AC61" i="26"/>
  <c r="I63" i="26"/>
  <c r="N65" i="26"/>
  <c r="O60" i="26"/>
  <c r="P61" i="26"/>
  <c r="P62" i="26"/>
  <c r="V57" i="26"/>
  <c r="I62" i="26"/>
  <c r="I61" i="26"/>
  <c r="CL46" i="26"/>
  <c r="U49" i="26"/>
  <c r="GX12" i="26"/>
  <c r="GX61" i="26" s="1"/>
  <c r="U60" i="26"/>
  <c r="CL12" i="26"/>
  <c r="AA51" i="26"/>
  <c r="CR50" i="26"/>
  <c r="HE12" i="26"/>
  <c r="HE61" i="26" s="1"/>
  <c r="CS12" i="26"/>
  <c r="AB60" i="26"/>
  <c r="CS46" i="26"/>
  <c r="AB49" i="26"/>
  <c r="AE51" i="26"/>
  <c r="CV50" i="26"/>
  <c r="W51" i="26"/>
  <c r="CN50" i="26"/>
  <c r="V51" i="26"/>
  <c r="CM50" i="26"/>
  <c r="Y51" i="26"/>
  <c r="CP50" i="26"/>
  <c r="I64" i="26"/>
  <c r="X51" i="26"/>
  <c r="CO50" i="26"/>
  <c r="AD63" i="26"/>
  <c r="GW290" i="26"/>
  <c r="T61" i="26"/>
  <c r="EE47" i="26"/>
  <c r="EQ47" i="26" s="1"/>
  <c r="DR47" i="26"/>
  <c r="Z61" i="26"/>
  <c r="AD61" i="26"/>
  <c r="T57" i="26"/>
  <c r="U61" i="26"/>
  <c r="DP26" i="26"/>
  <c r="CO28" i="26"/>
  <c r="DP28" i="26" s="1"/>
  <c r="AA57" i="26"/>
  <c r="CR46" i="26"/>
  <c r="AA49" i="26"/>
  <c r="CR28" i="26"/>
  <c r="DS28" i="26" s="1"/>
  <c r="DS26" i="26"/>
  <c r="HD12" i="26"/>
  <c r="HD59" i="26" s="1"/>
  <c r="CR12" i="26"/>
  <c r="AA60" i="26"/>
  <c r="AE57" i="26"/>
  <c r="CV46" i="26"/>
  <c r="AE49" i="26"/>
  <c r="CV28" i="26"/>
  <c r="DW28" i="26" s="1"/>
  <c r="DW26" i="26"/>
  <c r="CV16" i="26"/>
  <c r="DW16" i="26" s="1"/>
  <c r="HH12" i="26"/>
  <c r="HH22" i="26" s="1"/>
  <c r="CV12" i="26"/>
  <c r="AE60" i="26"/>
  <c r="H63" i="26"/>
  <c r="K62" i="26"/>
  <c r="K61" i="26"/>
  <c r="M65" i="26"/>
  <c r="R64" i="26"/>
  <c r="R60" i="26"/>
  <c r="T60" i="26"/>
  <c r="HB12" i="26"/>
  <c r="HB59" i="26" s="1"/>
  <c r="CP12" i="26"/>
  <c r="Y60" i="26"/>
  <c r="U57" i="26"/>
  <c r="Z51" i="26"/>
  <c r="CQ50" i="26"/>
  <c r="DT48" i="26"/>
  <c r="EC48" i="26"/>
  <c r="EO48" i="26" s="1"/>
  <c r="P65" i="26"/>
  <c r="U51" i="26"/>
  <c r="CL50" i="26"/>
  <c r="AB51" i="26"/>
  <c r="CS50" i="26"/>
  <c r="H60" i="26"/>
  <c r="X57" i="26"/>
  <c r="T49" i="26"/>
  <c r="T52" i="26" s="1"/>
  <c r="J63" i="26"/>
  <c r="L60" i="26"/>
  <c r="DN47" i="26"/>
  <c r="W57" i="26"/>
  <c r="CN46" i="26"/>
  <c r="DO46" i="26" s="1"/>
  <c r="W49" i="26"/>
  <c r="DO26" i="26"/>
  <c r="CN28" i="26"/>
  <c r="DO28" i="26" s="1"/>
  <c r="CN16" i="26"/>
  <c r="DO16" i="26" s="1"/>
  <c r="GZ12" i="26"/>
  <c r="GZ61" i="26" s="1"/>
  <c r="W60" i="26"/>
  <c r="CN12" i="26"/>
  <c r="Z57" i="26"/>
  <c r="CQ46" i="26"/>
  <c r="Z49" i="26"/>
  <c r="CQ28" i="26"/>
  <c r="DR28" i="26" s="1"/>
  <c r="DR26" i="26"/>
  <c r="CQ16" i="26"/>
  <c r="DR16" i="26" s="1"/>
  <c r="HC12" i="26"/>
  <c r="HC22" i="26" s="1"/>
  <c r="CQ12" i="26"/>
  <c r="Z60" i="26"/>
  <c r="CU46" i="26"/>
  <c r="AD49" i="26"/>
  <c r="CU28" i="26"/>
  <c r="DV28" i="26" s="1"/>
  <c r="DV26" i="26"/>
  <c r="CU16" i="26"/>
  <c r="DV16" i="26" s="1"/>
  <c r="HG12" i="26"/>
  <c r="HG22" i="26" s="1"/>
  <c r="CU12" i="26"/>
  <c r="AD60" i="26"/>
  <c r="J61" i="26"/>
  <c r="J62" i="26"/>
  <c r="K63" i="26"/>
  <c r="L65" i="26"/>
  <c r="Q64" i="26"/>
  <c r="Q60" i="26"/>
  <c r="AC57" i="26"/>
  <c r="BB55" i="26"/>
  <c r="AD57" i="26"/>
  <c r="BA45" i="26"/>
  <c r="BA65" i="26" s="1"/>
  <c r="AZ45" i="26"/>
  <c r="AZ65" i="26" s="1"/>
  <c r="AZ19" i="26"/>
  <c r="HM288" i="26"/>
  <c r="HK288" i="26"/>
  <c r="HJ288" i="26"/>
  <c r="HL288" i="26"/>
  <c r="HL60" i="26"/>
  <c r="HL56" i="26"/>
  <c r="HM60" i="26"/>
  <c r="HO60" i="26"/>
  <c r="HO56" i="26"/>
  <c r="HM56" i="26"/>
  <c r="HN60" i="26"/>
  <c r="HN56" i="26"/>
  <c r="BC31" i="26"/>
  <c r="BA31" i="26"/>
  <c r="HE57" i="26"/>
  <c r="BC34" i="26"/>
  <c r="HD57" i="26"/>
  <c r="HH57" i="26"/>
  <c r="HA57" i="26"/>
  <c r="GZ57" i="26"/>
  <c r="HC57" i="26"/>
  <c r="HG57" i="26"/>
  <c r="BA34" i="26"/>
  <c r="GY57" i="26"/>
  <c r="HB57" i="26"/>
  <c r="HK57" i="26" s="1"/>
  <c r="EY35" i="26" s="1"/>
  <c r="FX18" i="26" s="1"/>
  <c r="HF57" i="26"/>
  <c r="HJ57" i="26" s="1"/>
  <c r="AZ31" i="26"/>
  <c r="GW289" i="26"/>
  <c r="GW295" i="26" s="1"/>
  <c r="GX57" i="26"/>
  <c r="AZ34" i="26"/>
  <c r="GZ232" i="26"/>
  <c r="GZ234" i="26" s="1"/>
  <c r="GZ64" i="26" s="1"/>
  <c r="HA232" i="26"/>
  <c r="GY232" i="26"/>
  <c r="GY234" i="26" s="1"/>
  <c r="GY64" i="26" s="1"/>
  <c r="HE232" i="26"/>
  <c r="HC232" i="26"/>
  <c r="HH232" i="26"/>
  <c r="HG232" i="26"/>
  <c r="GX232" i="26"/>
  <c r="GX234" i="26" s="1"/>
  <c r="GX64" i="26" s="1"/>
  <c r="HC88" i="26"/>
  <c r="HC90" i="26" s="1"/>
  <c r="HC185" i="26"/>
  <c r="HC187" i="26" s="1"/>
  <c r="HC278" i="26"/>
  <c r="HC280" i="26" s="1"/>
  <c r="HH88" i="26"/>
  <c r="HH90" i="26" s="1"/>
  <c r="HH185" i="26"/>
  <c r="HH187" i="26" s="1"/>
  <c r="HH278" i="26"/>
  <c r="HH280" i="26" s="1"/>
  <c r="HG88" i="26"/>
  <c r="HG90" i="26" s="1"/>
  <c r="HG185" i="26"/>
  <c r="HG187" i="26" s="1"/>
  <c r="HG278" i="26"/>
  <c r="HG280" i="26" s="1"/>
  <c r="HF278" i="26"/>
  <c r="HJ278" i="26" s="1"/>
  <c r="HL278" i="26" s="1"/>
  <c r="HF185" i="26"/>
  <c r="GW88" i="26"/>
  <c r="GW90" i="26" s="1"/>
  <c r="GW278" i="26"/>
  <c r="GW280" i="26" s="1"/>
  <c r="GW282" i="26" s="1"/>
  <c r="GW70" i="26" s="1"/>
  <c r="GW185" i="26"/>
  <c r="GW187" i="26" s="1"/>
  <c r="HB185" i="26"/>
  <c r="HB278" i="26"/>
  <c r="HK278" i="26" s="1"/>
  <c r="HM278" i="26" s="1"/>
  <c r="HE88" i="26"/>
  <c r="HE90" i="26" s="1"/>
  <c r="HE278" i="26"/>
  <c r="HE280" i="26" s="1"/>
  <c r="HE185" i="26"/>
  <c r="HE187" i="26" s="1"/>
  <c r="GY88" i="26"/>
  <c r="GY90" i="26" s="1"/>
  <c r="GY185" i="26"/>
  <c r="GY187" i="26" s="1"/>
  <c r="GY278" i="26"/>
  <c r="GY280" i="26" s="1"/>
  <c r="GX88" i="26"/>
  <c r="GX90" i="26" s="1"/>
  <c r="GX278" i="26"/>
  <c r="GX280" i="26" s="1"/>
  <c r="GX185" i="26"/>
  <c r="GX187" i="26" s="1"/>
  <c r="GZ88" i="26"/>
  <c r="GZ90" i="26" s="1"/>
  <c r="GZ185" i="26"/>
  <c r="GZ187" i="26" s="1"/>
  <c r="GZ278" i="26"/>
  <c r="GZ280" i="26" s="1"/>
  <c r="HA88" i="26"/>
  <c r="HA90" i="26" s="1"/>
  <c r="HA278" i="26"/>
  <c r="HA280" i="26" s="1"/>
  <c r="HA185" i="26"/>
  <c r="HA187" i="26" s="1"/>
  <c r="HD185" i="26"/>
  <c r="HD278" i="26"/>
  <c r="GY58" i="26"/>
  <c r="HB58" i="26"/>
  <c r="HK58" i="26" s="1"/>
  <c r="EY36" i="26" s="1"/>
  <c r="FX19" i="26" s="1"/>
  <c r="HF58" i="26"/>
  <c r="HJ58" i="26" s="1"/>
  <c r="GX58" i="26"/>
  <c r="HE58" i="26"/>
  <c r="HA58" i="26"/>
  <c r="HD58" i="26"/>
  <c r="HH58" i="26"/>
  <c r="GZ58" i="26"/>
  <c r="HC58" i="26"/>
  <c r="HG58" i="26"/>
  <c r="HH251" i="26"/>
  <c r="HH253" i="26" s="1"/>
  <c r="HH361" i="26" s="1"/>
  <c r="HH360" i="26" s="1"/>
  <c r="HH377" i="26" s="1"/>
  <c r="GW248" i="26"/>
  <c r="GW357" i="26" s="1"/>
  <c r="HA251" i="26"/>
  <c r="HA253" i="26" s="1"/>
  <c r="HA361" i="26" s="1"/>
  <c r="HA360" i="26" s="1"/>
  <c r="HA377" i="26" s="1"/>
  <c r="HB251" i="26"/>
  <c r="GW249" i="26"/>
  <c r="GW251" i="26" s="1"/>
  <c r="GW253" i="26" s="1"/>
  <c r="GW361" i="26" s="1"/>
  <c r="HE251" i="26"/>
  <c r="HE253" i="26" s="1"/>
  <c r="HE361" i="26" s="1"/>
  <c r="HE360" i="26" s="1"/>
  <c r="HE377" i="26" s="1"/>
  <c r="HG251" i="26"/>
  <c r="HG253" i="26" s="1"/>
  <c r="HG361" i="26" s="1"/>
  <c r="HG360" i="26" s="1"/>
  <c r="HG377" i="26" s="1"/>
  <c r="HC251" i="26"/>
  <c r="HC253" i="26" s="1"/>
  <c r="HC361" i="26" s="1"/>
  <c r="HC360" i="26" s="1"/>
  <c r="HC377" i="26" s="1"/>
  <c r="BC29" i="26"/>
  <c r="HD222" i="26"/>
  <c r="HD228" i="26" s="1"/>
  <c r="BA29" i="26"/>
  <c r="HB222" i="26"/>
  <c r="HB228" i="26" s="1"/>
  <c r="HB230" i="26" s="1"/>
  <c r="HM230" i="26" s="1"/>
  <c r="HE221" i="26"/>
  <c r="HA221" i="26"/>
  <c r="HD221" i="26"/>
  <c r="HD227" i="26" s="1"/>
  <c r="HH221" i="26"/>
  <c r="HH227" i="26" s="1"/>
  <c r="GZ221" i="26"/>
  <c r="GZ227" i="26" s="1"/>
  <c r="HC221" i="26"/>
  <c r="HC227" i="26" s="1"/>
  <c r="GY221" i="26"/>
  <c r="GY227" i="26" s="1"/>
  <c r="AZ29" i="26"/>
  <c r="HF222" i="26"/>
  <c r="HF228" i="26" s="1"/>
  <c r="GX221" i="26"/>
  <c r="GX227" i="26" s="1"/>
  <c r="GW266" i="26"/>
  <c r="GW269" i="26" s="1"/>
  <c r="GW221" i="26"/>
  <c r="GW227" i="26" s="1"/>
  <c r="HG221" i="26"/>
  <c r="HG227" i="26" s="1"/>
  <c r="HB221" i="26"/>
  <c r="HF221" i="26"/>
  <c r="HH211" i="26"/>
  <c r="HH212" i="26" s="1"/>
  <c r="HH69" i="26" s="1"/>
  <c r="HG211" i="26"/>
  <c r="HG212" i="26" s="1"/>
  <c r="HG69" i="26" s="1"/>
  <c r="GZ266" i="26"/>
  <c r="GZ269" i="26" s="1"/>
  <c r="HA266" i="26"/>
  <c r="GY266" i="26"/>
  <c r="GY269" i="26" s="1"/>
  <c r="BA12" i="26"/>
  <c r="AH21" i="18" s="1"/>
  <c r="HB88" i="26"/>
  <c r="HB90" i="26" s="1"/>
  <c r="AZ12" i="26"/>
  <c r="AG21" i="18" s="1"/>
  <c r="HF88" i="26"/>
  <c r="HF90" i="26" s="1"/>
  <c r="BC12" i="26"/>
  <c r="AJ21" i="18" s="1"/>
  <c r="HD88" i="26"/>
  <c r="HD90" i="26" s="1"/>
  <c r="BC35" i="26"/>
  <c r="HF266" i="26"/>
  <c r="HE266" i="26"/>
  <c r="HG216" i="26"/>
  <c r="HG219" i="26" s="1"/>
  <c r="HD266" i="26"/>
  <c r="HD269" i="26" s="1"/>
  <c r="HC266" i="26"/>
  <c r="GX266" i="26"/>
  <c r="GX269" i="26" s="1"/>
  <c r="HB266" i="26"/>
  <c r="HH266" i="26"/>
  <c r="HH269" i="26" s="1"/>
  <c r="HG266" i="26"/>
  <c r="HG269" i="26" s="1"/>
  <c r="HH219" i="26"/>
  <c r="HH262" i="26"/>
  <c r="HH71" i="26" s="1"/>
  <c r="HG262" i="26"/>
  <c r="HG71" i="26" s="1"/>
  <c r="P75" i="26"/>
  <c r="M71" i="26"/>
  <c r="O75" i="26"/>
  <c r="U72" i="26"/>
  <c r="CL101" i="26" s="1"/>
  <c r="G76" i="26"/>
  <c r="K76" i="26"/>
  <c r="O76" i="26"/>
  <c r="U71" i="26"/>
  <c r="CL100" i="26" s="1"/>
  <c r="H75" i="26"/>
  <c r="M75" i="26"/>
  <c r="N71" i="26"/>
  <c r="Q76" i="26"/>
  <c r="Q71" i="26"/>
  <c r="I76" i="26"/>
  <c r="K72" i="26"/>
  <c r="AA72" i="26"/>
  <c r="CR101" i="26" s="1"/>
  <c r="G62" i="26"/>
  <c r="H76" i="26"/>
  <c r="R76" i="26"/>
  <c r="R72" i="26"/>
  <c r="L71" i="26"/>
  <c r="G71" i="26"/>
  <c r="AB72" i="26"/>
  <c r="CS101" i="26" s="1"/>
  <c r="G72" i="26"/>
  <c r="G61" i="26"/>
  <c r="W72" i="26"/>
  <c r="CN101" i="26" s="1"/>
  <c r="Z72" i="26"/>
  <c r="CQ101" i="26" s="1"/>
  <c r="Q72" i="26"/>
  <c r="AB71" i="26"/>
  <c r="CS100" i="26" s="1"/>
  <c r="O71" i="26"/>
  <c r="AE71" i="26"/>
  <c r="CV100" i="26" s="1"/>
  <c r="R71" i="26"/>
  <c r="W71" i="26"/>
  <c r="CN100" i="26" s="1"/>
  <c r="K71" i="26"/>
  <c r="L75" i="26"/>
  <c r="H71" i="26"/>
  <c r="T71" i="26"/>
  <c r="CK100" i="26" s="1"/>
  <c r="H72" i="26"/>
  <c r="T72" i="26"/>
  <c r="CK101" i="26" s="1"/>
  <c r="J71" i="26"/>
  <c r="G60" i="26"/>
  <c r="G64" i="26"/>
  <c r="I71" i="26"/>
  <c r="N72" i="26"/>
  <c r="Q75" i="26"/>
  <c r="K75" i="26"/>
  <c r="AZ55" i="26"/>
  <c r="BJ56" i="26"/>
  <c r="BA76" i="26"/>
  <c r="AD72" i="26"/>
  <c r="CU101" i="26" s="1"/>
  <c r="R75" i="26"/>
  <c r="G63" i="26"/>
  <c r="M76" i="26"/>
  <c r="O72" i="26"/>
  <c r="AD71" i="26"/>
  <c r="CU100" i="26" s="1"/>
  <c r="J76" i="26"/>
  <c r="J72" i="26"/>
  <c r="L76" i="26"/>
  <c r="BA35" i="26"/>
  <c r="I75" i="26"/>
  <c r="I72" i="26"/>
  <c r="Z71" i="26"/>
  <c r="CQ100" i="26" s="1"/>
  <c r="AE72" i="26"/>
  <c r="CV101" i="26" s="1"/>
  <c r="AA71" i="26"/>
  <c r="CR100" i="26" s="1"/>
  <c r="BI56" i="26"/>
  <c r="AZ76" i="26"/>
  <c r="G75" i="26"/>
  <c r="V72" i="26"/>
  <c r="CM101" i="26" s="1"/>
  <c r="V71" i="26"/>
  <c r="CM100" i="26" s="1"/>
  <c r="AZ13" i="26"/>
  <c r="BC38" i="26"/>
  <c r="P71" i="26"/>
  <c r="Y72" i="26"/>
  <c r="CP101" i="26" s="1"/>
  <c r="P72" i="26"/>
  <c r="Y71" i="26"/>
  <c r="CP100" i="26" s="1"/>
  <c r="AZ35" i="26"/>
  <c r="P76" i="26"/>
  <c r="N75" i="26"/>
  <c r="BC45" i="26"/>
  <c r="N76" i="26"/>
  <c r="M72" i="26"/>
  <c r="AC72" i="26"/>
  <c r="CT101" i="26" s="1"/>
  <c r="BC53" i="26"/>
  <c r="L72" i="26"/>
  <c r="AC71" i="26"/>
  <c r="CT100" i="26" s="1"/>
  <c r="BC15" i="26"/>
  <c r="J75" i="26"/>
  <c r="BB96" i="26"/>
  <c r="BB40" i="26" s="1"/>
  <c r="X72" i="26"/>
  <c r="CO101" i="26" s="1"/>
  <c r="X71" i="26"/>
  <c r="CO100" i="26" s="1"/>
  <c r="AR9" i="3"/>
  <c r="AS9" i="3"/>
  <c r="AT9" i="3"/>
  <c r="AU9" i="3"/>
  <c r="AV9" i="3"/>
  <c r="AW9" i="3"/>
  <c r="S24" i="22"/>
  <c r="R24" i="22"/>
  <c r="Q24" i="22"/>
  <c r="P24" i="22"/>
  <c r="S23" i="22"/>
  <c r="R23" i="22"/>
  <c r="Q23" i="22"/>
  <c r="P23" i="22"/>
  <c r="S22" i="22"/>
  <c r="R22" i="22"/>
  <c r="Q22" i="22"/>
  <c r="P22" i="22"/>
  <c r="S21" i="22"/>
  <c r="R21" i="22"/>
  <c r="Q21" i="22"/>
  <c r="P21" i="22"/>
  <c r="S17" i="22"/>
  <c r="R17" i="22"/>
  <c r="Q17" i="22"/>
  <c r="P17" i="22"/>
  <c r="S16" i="22"/>
  <c r="R16" i="22"/>
  <c r="Q16" i="22"/>
  <c r="P16" i="22"/>
  <c r="S15" i="22"/>
  <c r="R15" i="22"/>
  <c r="Q15" i="22"/>
  <c r="P15" i="22"/>
  <c r="S14" i="22"/>
  <c r="R14" i="22"/>
  <c r="Q14" i="22"/>
  <c r="P14" i="22"/>
  <c r="S13" i="22"/>
  <c r="R13" i="22"/>
  <c r="Q13" i="22"/>
  <c r="P13" i="22"/>
  <c r="S12" i="22"/>
  <c r="R12" i="22"/>
  <c r="Q12" i="22"/>
  <c r="P12" i="22"/>
  <c r="S11" i="22"/>
  <c r="R11" i="22"/>
  <c r="Q11" i="22"/>
  <c r="P11" i="22"/>
  <c r="S10" i="22"/>
  <c r="R10" i="22"/>
  <c r="Q10" i="22"/>
  <c r="P10" i="22"/>
  <c r="S9" i="22"/>
  <c r="R9" i="22"/>
  <c r="Q9" i="22"/>
  <c r="P9" i="22"/>
  <c r="S8" i="22"/>
  <c r="R8" i="22"/>
  <c r="Q8" i="22"/>
  <c r="P8" i="22"/>
  <c r="K22" i="22"/>
  <c r="X22" i="22" s="1"/>
  <c r="K23" i="22"/>
  <c r="Y23" i="22" s="1"/>
  <c r="AD23" i="22" s="1"/>
  <c r="K24" i="22"/>
  <c r="X24" i="22" s="1"/>
  <c r="K21" i="22"/>
  <c r="Y21" i="22" s="1"/>
  <c r="AD21" i="22" s="1"/>
  <c r="H21" i="22"/>
  <c r="I21" i="22"/>
  <c r="J21" i="22"/>
  <c r="H22" i="22"/>
  <c r="I22" i="22"/>
  <c r="J22" i="22"/>
  <c r="H23" i="22"/>
  <c r="I23" i="22"/>
  <c r="J23" i="22"/>
  <c r="H24" i="22"/>
  <c r="I24" i="22"/>
  <c r="J24" i="22"/>
  <c r="G22" i="22"/>
  <c r="T22" i="22" s="1"/>
  <c r="G23" i="22"/>
  <c r="T23" i="22" s="1"/>
  <c r="G24" i="22"/>
  <c r="T24" i="22" s="1"/>
  <c r="G21" i="22"/>
  <c r="Z22" i="22"/>
  <c r="AA22" i="22"/>
  <c r="Z23" i="22"/>
  <c r="AA23" i="22"/>
  <c r="Z24" i="22"/>
  <c r="AA24" i="22"/>
  <c r="AA21" i="22"/>
  <c r="Z21" i="22"/>
  <c r="AA17" i="22"/>
  <c r="Z17" i="22"/>
  <c r="AA16" i="22"/>
  <c r="Z16" i="22"/>
  <c r="AA15" i="22"/>
  <c r="Z15" i="22"/>
  <c r="AA14" i="22"/>
  <c r="Z14" i="22"/>
  <c r="AA13" i="22"/>
  <c r="Z13" i="22"/>
  <c r="AA12" i="22"/>
  <c r="Z12" i="22"/>
  <c r="AA11" i="22"/>
  <c r="Z11" i="22"/>
  <c r="AA10" i="22"/>
  <c r="Z10" i="22"/>
  <c r="AA9" i="22"/>
  <c r="Z9" i="22"/>
  <c r="AA8" i="22"/>
  <c r="Z8" i="22"/>
  <c r="K9" i="22"/>
  <c r="X9" i="22" s="1"/>
  <c r="K10" i="22"/>
  <c r="K11" i="22"/>
  <c r="K12" i="22"/>
  <c r="X12" i="22" s="1"/>
  <c r="K13" i="22"/>
  <c r="X13" i="22" s="1"/>
  <c r="K14" i="22"/>
  <c r="X14" i="22" s="1"/>
  <c r="K15" i="22"/>
  <c r="X15" i="22" s="1"/>
  <c r="K16" i="22"/>
  <c r="Y16" i="22" s="1"/>
  <c r="AD16" i="22" s="1"/>
  <c r="K17" i="22"/>
  <c r="X17" i="22" s="1"/>
  <c r="K8" i="22"/>
  <c r="Y8" i="22" s="1"/>
  <c r="AD8" i="22" s="1"/>
  <c r="H8" i="22"/>
  <c r="I8" i="22"/>
  <c r="J8" i="22"/>
  <c r="H9" i="22"/>
  <c r="I9" i="22"/>
  <c r="J9" i="22"/>
  <c r="H10" i="22"/>
  <c r="I10" i="22"/>
  <c r="J10" i="22"/>
  <c r="H11" i="22"/>
  <c r="I11" i="22"/>
  <c r="J11" i="22"/>
  <c r="H12" i="22"/>
  <c r="I12" i="22"/>
  <c r="J12" i="22"/>
  <c r="H13" i="22"/>
  <c r="I13" i="22"/>
  <c r="J13" i="22"/>
  <c r="H14" i="22"/>
  <c r="I14" i="22"/>
  <c r="J14" i="22"/>
  <c r="H15" i="22"/>
  <c r="I15" i="22"/>
  <c r="J15" i="22"/>
  <c r="H16" i="22"/>
  <c r="I16" i="22"/>
  <c r="J16" i="22"/>
  <c r="H17" i="22"/>
  <c r="I17" i="22"/>
  <c r="J17" i="22"/>
  <c r="G9" i="22"/>
  <c r="T9" i="22" s="1"/>
  <c r="G10" i="22"/>
  <c r="T10" i="22" s="1"/>
  <c r="G11" i="22"/>
  <c r="T11" i="22" s="1"/>
  <c r="G12" i="22"/>
  <c r="T12" i="22" s="1"/>
  <c r="G13" i="22"/>
  <c r="T13" i="22" s="1"/>
  <c r="G14" i="22"/>
  <c r="T14" i="22" s="1"/>
  <c r="G15" i="22"/>
  <c r="T15" i="22" s="1"/>
  <c r="G16" i="22"/>
  <c r="T16" i="22" s="1"/>
  <c r="G17" i="22"/>
  <c r="T17" i="22" s="1"/>
  <c r="G8" i="22"/>
  <c r="T8" i="22" s="1"/>
  <c r="HB227" i="26" l="1"/>
  <c r="HK227" i="26" s="1"/>
  <c r="HK230" i="26" s="1"/>
  <c r="HK232" i="26" s="1"/>
  <c r="HK236" i="26"/>
  <c r="HA227" i="26"/>
  <c r="HO236" i="26"/>
  <c r="HM236" i="26"/>
  <c r="HF227" i="26"/>
  <c r="HJ227" i="26" s="1"/>
  <c r="HJ230" i="26" s="1"/>
  <c r="HJ232" i="26" s="1"/>
  <c r="HJ236" i="26"/>
  <c r="HE227" i="26"/>
  <c r="HN236" i="26"/>
  <c r="HL236" i="26"/>
  <c r="O17" i="45"/>
  <c r="O115" i="45" s="1"/>
  <c r="O83" i="45"/>
  <c r="O85" i="45" s="1"/>
  <c r="M17" i="45"/>
  <c r="M115" i="45" s="1"/>
  <c r="M83" i="45"/>
  <c r="M85" i="45" s="1"/>
  <c r="N17" i="45"/>
  <c r="N115" i="45" s="1"/>
  <c r="N83" i="45"/>
  <c r="N85" i="45" s="1"/>
  <c r="ID60" i="26"/>
  <c r="L83" i="45"/>
  <c r="L85" i="45" s="1"/>
  <c r="L17" i="45"/>
  <c r="L115" i="45" s="1"/>
  <c r="K12" i="45"/>
  <c r="K112" i="45" s="1"/>
  <c r="GN18" i="26"/>
  <c r="GN19" i="26"/>
  <c r="HH294" i="26"/>
  <c r="HH75" i="26"/>
  <c r="HG374" i="26"/>
  <c r="HH374" i="26"/>
  <c r="HD374" i="26"/>
  <c r="HF360" i="26"/>
  <c r="HF377" i="26" s="1"/>
  <c r="HL361" i="26"/>
  <c r="HN361" i="26"/>
  <c r="HH296" i="26"/>
  <c r="GN16" i="26"/>
  <c r="FH34" i="26"/>
  <c r="FH33" i="26"/>
  <c r="FH35" i="26"/>
  <c r="HG296" i="26"/>
  <c r="HG294" i="26"/>
  <c r="HD294" i="26"/>
  <c r="GX294" i="26"/>
  <c r="GX370" i="26"/>
  <c r="GX374" i="26" s="1"/>
  <c r="HG356" i="26"/>
  <c r="HH356" i="26"/>
  <c r="GW356" i="26"/>
  <c r="GW376" i="26" s="1"/>
  <c r="HC356" i="26"/>
  <c r="HD356" i="26"/>
  <c r="GZ356" i="26"/>
  <c r="GW75" i="26"/>
  <c r="GW370" i="26"/>
  <c r="GW374" i="26" s="1"/>
  <c r="HJ248" i="26"/>
  <c r="HJ251" i="26" s="1"/>
  <c r="HJ253" i="26" s="1"/>
  <c r="HL357" i="26"/>
  <c r="HK248" i="26"/>
  <c r="HK251" i="26" s="1"/>
  <c r="HK253" i="26" s="1"/>
  <c r="HB357" i="26"/>
  <c r="GX356" i="26"/>
  <c r="HE356" i="26"/>
  <c r="GY294" i="26"/>
  <c r="GY370" i="26"/>
  <c r="GY374" i="26" s="1"/>
  <c r="GY356" i="26"/>
  <c r="HA356" i="26"/>
  <c r="GW367" i="26"/>
  <c r="GW360" i="26"/>
  <c r="HA296" i="26"/>
  <c r="HG75" i="26"/>
  <c r="HD75" i="26"/>
  <c r="HC294" i="26"/>
  <c r="HC370" i="26"/>
  <c r="HC374" i="26" s="1"/>
  <c r="HL286" i="26"/>
  <c r="HL294" i="26" s="1"/>
  <c r="HL75" i="26" s="1"/>
  <c r="HT78" i="26" s="1"/>
  <c r="HE370" i="26"/>
  <c r="HE374" i="26" s="1"/>
  <c r="BK40" i="26"/>
  <c r="HV75" i="26"/>
  <c r="HN253" i="26"/>
  <c r="GX75" i="26"/>
  <c r="HA294" i="26"/>
  <c r="HA370" i="26"/>
  <c r="HA374" i="26" s="1"/>
  <c r="DM12" i="26"/>
  <c r="HJ286" i="26"/>
  <c r="HJ294" i="26" s="1"/>
  <c r="HJ75" i="26" s="1"/>
  <c r="HF370" i="26"/>
  <c r="HJ370" i="26" s="1"/>
  <c r="HF296" i="26"/>
  <c r="GW294" i="26"/>
  <c r="HK286" i="26"/>
  <c r="HK205" i="26" s="1"/>
  <c r="HB370" i="26"/>
  <c r="HK370" i="26" s="1"/>
  <c r="GW296" i="26"/>
  <c r="GZ294" i="26"/>
  <c r="GZ370" i="26"/>
  <c r="GZ374" i="26" s="1"/>
  <c r="HE296" i="26"/>
  <c r="HB296" i="26"/>
  <c r="HM286" i="26"/>
  <c r="HM205" i="26" s="1"/>
  <c r="HB294" i="26"/>
  <c r="HB75" i="26"/>
  <c r="HO286" i="26"/>
  <c r="HO205" i="26" s="1"/>
  <c r="HD296" i="26"/>
  <c r="HE294" i="26"/>
  <c r="GY75" i="26"/>
  <c r="GY296" i="26"/>
  <c r="GZ296" i="26"/>
  <c r="GZ75" i="26"/>
  <c r="HN286" i="26"/>
  <c r="HE75" i="26"/>
  <c r="HC296" i="26"/>
  <c r="HF294" i="26"/>
  <c r="GX296" i="26"/>
  <c r="FC34" i="26"/>
  <c r="GB16" i="26" s="1"/>
  <c r="O7" i="45" s="1"/>
  <c r="FB34" i="26"/>
  <c r="GA16" i="26" s="1"/>
  <c r="N7" i="45" s="1"/>
  <c r="HN232" i="26"/>
  <c r="W21" i="22"/>
  <c r="ID56" i="26"/>
  <c r="EZ34" i="26"/>
  <c r="FY16" i="26" s="1"/>
  <c r="L7" i="45" s="1"/>
  <c r="IE56" i="26"/>
  <c r="FA34" i="26"/>
  <c r="FZ16" i="26" s="1"/>
  <c r="M7" i="45" s="1"/>
  <c r="HN288" i="26"/>
  <c r="CR102" i="26"/>
  <c r="HH59" i="26"/>
  <c r="HC75" i="26"/>
  <c r="HH61" i="26"/>
  <c r="HO288" i="26"/>
  <c r="GZ22" i="26"/>
  <c r="HE22" i="26"/>
  <c r="HG59" i="26"/>
  <c r="AZ57" i="26"/>
  <c r="BI57" i="26" s="1"/>
  <c r="HD61" i="26"/>
  <c r="W15" i="22"/>
  <c r="BC71" i="26"/>
  <c r="CM102" i="26"/>
  <c r="HO22" i="26"/>
  <c r="CV102" i="26"/>
  <c r="CL102" i="26"/>
  <c r="HB22" i="26"/>
  <c r="HB61" i="26"/>
  <c r="HK61" i="26" s="1"/>
  <c r="U17" i="22"/>
  <c r="AE17" i="22" s="1"/>
  <c r="HD22" i="26"/>
  <c r="GX59" i="26"/>
  <c r="HL22" i="26"/>
  <c r="ID22" i="26" s="1"/>
  <c r="HM12" i="26"/>
  <c r="HM59" i="26" s="1"/>
  <c r="GX22" i="26"/>
  <c r="CQ102" i="26"/>
  <c r="CT102" i="26"/>
  <c r="BA64" i="26"/>
  <c r="GZ59" i="26"/>
  <c r="T53" i="26"/>
  <c r="T65" i="26" s="1"/>
  <c r="DT12" i="26"/>
  <c r="DP12" i="26"/>
  <c r="HC59" i="26"/>
  <c r="HO12" i="26"/>
  <c r="HO59" i="26" s="1"/>
  <c r="CM51" i="26"/>
  <c r="DN51" i="26" s="1"/>
  <c r="DN50" i="26"/>
  <c r="DU12" i="26"/>
  <c r="GY22" i="26"/>
  <c r="CS51" i="26"/>
  <c r="DT51" i="26" s="1"/>
  <c r="DT50" i="26"/>
  <c r="HE59" i="26"/>
  <c r="BC65" i="26"/>
  <c r="CN102" i="26"/>
  <c r="GY61" i="26"/>
  <c r="CQ49" i="26"/>
  <c r="DR46" i="26"/>
  <c r="EE46" i="26"/>
  <c r="CL51" i="26"/>
  <c r="DM51" i="26" s="1"/>
  <c r="DM50" i="26"/>
  <c r="BA57" i="26"/>
  <c r="BJ57" i="26" s="1"/>
  <c r="CO102" i="26"/>
  <c r="CU102" i="26"/>
  <c r="HG61" i="26"/>
  <c r="HN278" i="26"/>
  <c r="HN280" i="26" s="1"/>
  <c r="DQ12" i="26"/>
  <c r="CV14" i="26"/>
  <c r="DW12" i="26"/>
  <c r="CO51" i="26"/>
  <c r="DP51" i="26" s="1"/>
  <c r="DP50" i="26"/>
  <c r="CV51" i="26"/>
  <c r="DW51" i="26" s="1"/>
  <c r="DW50" i="26"/>
  <c r="CT49" i="26"/>
  <c r="EA46" i="26"/>
  <c r="DU46" i="26"/>
  <c r="CR51" i="26"/>
  <c r="DS51" i="26" s="1"/>
  <c r="DS50" i="26"/>
  <c r="CU51" i="26"/>
  <c r="DV51" i="26" s="1"/>
  <c r="DV50" i="26"/>
  <c r="DS12" i="26"/>
  <c r="BB57" i="26"/>
  <c r="BA75" i="26"/>
  <c r="BA77" i="26" s="1"/>
  <c r="HC61" i="26"/>
  <c r="GW77" i="26"/>
  <c r="HN22" i="26"/>
  <c r="DO12" i="26"/>
  <c r="CP49" i="26"/>
  <c r="EB46" i="26"/>
  <c r="DQ46" i="26"/>
  <c r="DR50" i="26"/>
  <c r="CQ51" i="26"/>
  <c r="DR51" i="26" s="1"/>
  <c r="CV49" i="26"/>
  <c r="DW46" i="26"/>
  <c r="HN12" i="26"/>
  <c r="HN59" i="26" s="1"/>
  <c r="CN49" i="26"/>
  <c r="CM49" i="26"/>
  <c r="CS102" i="26"/>
  <c r="HA22" i="26"/>
  <c r="HM22" i="26"/>
  <c r="IE22" i="26" s="1"/>
  <c r="CU49" i="26"/>
  <c r="DV46" i="26"/>
  <c r="CR49" i="26"/>
  <c r="DS46" i="26"/>
  <c r="CS49" i="26"/>
  <c r="DT46" i="26"/>
  <c r="EC46" i="26"/>
  <c r="JB47" i="26"/>
  <c r="EM47" i="26"/>
  <c r="CT51" i="26"/>
  <c r="DU51" i="26" s="1"/>
  <c r="DU50" i="26"/>
  <c r="DP46" i="26"/>
  <c r="ED46" i="26"/>
  <c r="CO49" i="26"/>
  <c r="EF46" i="26"/>
  <c r="DN12" i="26"/>
  <c r="DR12" i="26"/>
  <c r="JB48" i="26"/>
  <c r="EM48" i="26"/>
  <c r="HF61" i="26"/>
  <c r="HJ61" i="26" s="1"/>
  <c r="CU14" i="26"/>
  <c r="DV12" i="26"/>
  <c r="CN51" i="26"/>
  <c r="DO51" i="26" s="1"/>
  <c r="DO50" i="26"/>
  <c r="HA61" i="26"/>
  <c r="HN185" i="26"/>
  <c r="HN187" i="26" s="1"/>
  <c r="CL49" i="26"/>
  <c r="DM46" i="26"/>
  <c r="CP102" i="26"/>
  <c r="HF59" i="26"/>
  <c r="HA59" i="26"/>
  <c r="CP51" i="26"/>
  <c r="DQ51" i="26" s="1"/>
  <c r="DQ50" i="26"/>
  <c r="BL55" i="26"/>
  <c r="BC57" i="26"/>
  <c r="BL57" i="26" s="1"/>
  <c r="Y17" i="22"/>
  <c r="AD17" i="22" s="1"/>
  <c r="W24" i="22"/>
  <c r="HO232" i="26"/>
  <c r="HD230" i="26"/>
  <c r="HD232" i="26" s="1"/>
  <c r="HF230" i="26"/>
  <c r="HL230" i="26" s="1"/>
  <c r="HB253" i="26"/>
  <c r="HB361" i="26" s="1"/>
  <c r="HD251" i="26"/>
  <c r="HD253" i="26" s="1"/>
  <c r="HD361" i="26" s="1"/>
  <c r="HO253" i="26"/>
  <c r="V11" i="22"/>
  <c r="V15" i="22"/>
  <c r="HD280" i="26"/>
  <c r="HO280" i="26" s="1"/>
  <c r="HO278" i="26"/>
  <c r="HD187" i="26"/>
  <c r="HO187" i="26" s="1"/>
  <c r="HO185" i="26"/>
  <c r="V14" i="22"/>
  <c r="V10" i="22"/>
  <c r="HF187" i="26"/>
  <c r="HJ187" i="26" s="1"/>
  <c r="HJ185" i="26"/>
  <c r="HB187" i="26"/>
  <c r="HK187" i="26" s="1"/>
  <c r="HK185" i="26"/>
  <c r="HN290" i="26"/>
  <c r="HK290" i="26"/>
  <c r="HL289" i="26"/>
  <c r="HL295" i="26" s="1"/>
  <c r="HL76" i="26" s="1"/>
  <c r="HT79" i="26" s="1"/>
  <c r="HJ289" i="26"/>
  <c r="HJ295" i="26" s="1"/>
  <c r="HJ76" i="26" s="1"/>
  <c r="HL290" i="26"/>
  <c r="HN289" i="26"/>
  <c r="HN295" i="26" s="1"/>
  <c r="HN76" i="26" s="1"/>
  <c r="HO289" i="26"/>
  <c r="HO295" i="26" s="1"/>
  <c r="HO76" i="26" s="1"/>
  <c r="HW79" i="26" s="1"/>
  <c r="HM289" i="26"/>
  <c r="HM295" i="26" s="1"/>
  <c r="HM76" i="26" s="1"/>
  <c r="HU79" i="26" s="1"/>
  <c r="HJ290" i="26"/>
  <c r="HK289" i="26"/>
  <c r="HK295" i="26" s="1"/>
  <c r="HK76" i="26" s="1"/>
  <c r="HO290" i="26"/>
  <c r="HM290" i="26"/>
  <c r="HL57" i="26"/>
  <c r="HD76" i="26"/>
  <c r="HC77" i="26"/>
  <c r="HB76" i="26"/>
  <c r="GZ77" i="26"/>
  <c r="GY76" i="26"/>
  <c r="HG76" i="26"/>
  <c r="HB77" i="26"/>
  <c r="HA77" i="26"/>
  <c r="HE76" i="26"/>
  <c r="GX77" i="26"/>
  <c r="HG77" i="26"/>
  <c r="HF76" i="26"/>
  <c r="HF77" i="26"/>
  <c r="HA76" i="26"/>
  <c r="HC76" i="26"/>
  <c r="GZ76" i="26"/>
  <c r="GY77" i="26"/>
  <c r="HH77" i="26"/>
  <c r="HD77" i="26"/>
  <c r="GX76" i="26"/>
  <c r="HE77" i="26"/>
  <c r="HH76" i="26"/>
  <c r="HN57" i="26"/>
  <c r="FB35" i="26" s="1"/>
  <c r="GA18" i="26" s="1"/>
  <c r="HN58" i="26"/>
  <c r="FB36" i="26" s="1"/>
  <c r="GA19" i="26" s="1"/>
  <c r="HL58" i="26"/>
  <c r="EZ36" i="26" s="1"/>
  <c r="HB269" i="26"/>
  <c r="HK266" i="26"/>
  <c r="HF280" i="26"/>
  <c r="HJ280" i="26" s="1"/>
  <c r="HN266" i="26"/>
  <c r="HC269" i="26"/>
  <c r="HM57" i="26"/>
  <c r="HO57" i="26"/>
  <c r="FC35" i="26" s="1"/>
  <c r="GB18" i="26" s="1"/>
  <c r="HL266" i="26"/>
  <c r="HE269" i="26"/>
  <c r="HF269" i="26"/>
  <c r="HJ266" i="26"/>
  <c r="HA269" i="26"/>
  <c r="HO266" i="26"/>
  <c r="HM266" i="26"/>
  <c r="HB280" i="26"/>
  <c r="HK280" i="26" s="1"/>
  <c r="IE60" i="26"/>
  <c r="HM58" i="26"/>
  <c r="FA36" i="26" s="1"/>
  <c r="HO58" i="26"/>
  <c r="FC36" i="26" s="1"/>
  <c r="GB19" i="26" s="1"/>
  <c r="GW76" i="26"/>
  <c r="V16" i="22"/>
  <c r="V12" i="22"/>
  <c r="V8" i="22"/>
  <c r="HB232" i="26"/>
  <c r="HM232" i="26" s="1"/>
  <c r="GW255" i="26"/>
  <c r="GW63" i="26" s="1"/>
  <c r="GY251" i="26"/>
  <c r="GY253" i="26" s="1"/>
  <c r="GY361" i="26" s="1"/>
  <c r="GX251" i="26"/>
  <c r="GX253" i="26" s="1"/>
  <c r="GX361" i="26" s="1"/>
  <c r="GZ251" i="26"/>
  <c r="GZ253" i="26" s="1"/>
  <c r="GZ361" i="26" s="1"/>
  <c r="HH271" i="26"/>
  <c r="HH274" i="26" s="1"/>
  <c r="HG271" i="26"/>
  <c r="HG274" i="26" s="1"/>
  <c r="HF271" i="26"/>
  <c r="HF274" i="26" s="1"/>
  <c r="HE271" i="26"/>
  <c r="HE274" i="26" s="1"/>
  <c r="GZ271" i="26"/>
  <c r="GZ274" i="26" s="1"/>
  <c r="GY271" i="26"/>
  <c r="GY274" i="26" s="1"/>
  <c r="GX271" i="26"/>
  <c r="GX274" i="26" s="1"/>
  <c r="GW271" i="26"/>
  <c r="HC271" i="26"/>
  <c r="HC274" i="26" s="1"/>
  <c r="HB271" i="26"/>
  <c r="HB274" i="26" s="1"/>
  <c r="HA271" i="26"/>
  <c r="HA274" i="26" s="1"/>
  <c r="HD271" i="26"/>
  <c r="HD274" i="26" s="1"/>
  <c r="X8" i="22"/>
  <c r="AF8" i="22" s="1"/>
  <c r="U14" i="22"/>
  <c r="AG14" i="22" s="1"/>
  <c r="W16" i="22"/>
  <c r="W73" i="26"/>
  <c r="BC72" i="26"/>
  <c r="V17" i="22"/>
  <c r="U13" i="22"/>
  <c r="AE13" i="22" s="1"/>
  <c r="W12" i="22"/>
  <c r="W8" i="22"/>
  <c r="W23" i="22"/>
  <c r="U12" i="22"/>
  <c r="U8" i="22"/>
  <c r="AE8" i="22" s="1"/>
  <c r="X16" i="22"/>
  <c r="AF16" i="22" s="1"/>
  <c r="W11" i="22"/>
  <c r="V22" i="22"/>
  <c r="V21" i="22"/>
  <c r="W13" i="22"/>
  <c r="U9" i="22"/>
  <c r="AE9" i="22" s="1"/>
  <c r="Y12" i="22"/>
  <c r="AD12" i="22" s="1"/>
  <c r="X23" i="22"/>
  <c r="AF23" i="22" s="1"/>
  <c r="Y13" i="22"/>
  <c r="AD13" i="22" s="1"/>
  <c r="U23" i="22"/>
  <c r="AE23" i="22" s="1"/>
  <c r="Y9" i="22"/>
  <c r="AD9" i="22" s="1"/>
  <c r="W22" i="22"/>
  <c r="Y22" i="22"/>
  <c r="AD22" i="22" s="1"/>
  <c r="U24" i="22"/>
  <c r="AE24" i="22" s="1"/>
  <c r="W14" i="22"/>
  <c r="W10" i="22"/>
  <c r="Y14" i="22"/>
  <c r="AD14" i="22" s="1"/>
  <c r="U11" i="22"/>
  <c r="AE11" i="22" s="1"/>
  <c r="W17" i="22"/>
  <c r="Y11" i="22"/>
  <c r="AD11" i="22" s="1"/>
  <c r="X11" i="22"/>
  <c r="Y10" i="22"/>
  <c r="AD10" i="22" s="1"/>
  <c r="X10" i="22"/>
  <c r="V13" i="22"/>
  <c r="X21" i="22"/>
  <c r="AF21" i="22" s="1"/>
  <c r="U22" i="22"/>
  <c r="AE22" i="22" s="1"/>
  <c r="Y15" i="22"/>
  <c r="AD15" i="22" s="1"/>
  <c r="V9" i="22"/>
  <c r="W9" i="22"/>
  <c r="U16" i="22"/>
  <c r="AG16" i="22" s="1"/>
  <c r="V23" i="22"/>
  <c r="U15" i="22"/>
  <c r="AE15" i="22" s="1"/>
  <c r="Y24" i="22"/>
  <c r="AD24" i="22" s="1"/>
  <c r="BC61" i="26"/>
  <c r="U10" i="22"/>
  <c r="AE10" i="22" s="1"/>
  <c r="U21" i="22"/>
  <c r="AE21" i="22" s="1"/>
  <c r="V24" i="22"/>
  <c r="BC62" i="26"/>
  <c r="BC60" i="26"/>
  <c r="G73" i="26"/>
  <c r="H73" i="26"/>
  <c r="M73" i="26"/>
  <c r="P77" i="26"/>
  <c r="AC52" i="26"/>
  <c r="W52" i="26"/>
  <c r="U73" i="26"/>
  <c r="AB52" i="26"/>
  <c r="AA52" i="26"/>
  <c r="Y52" i="26"/>
  <c r="AD52" i="26"/>
  <c r="U52" i="26"/>
  <c r="AE52" i="26"/>
  <c r="Z52" i="26"/>
  <c r="X52" i="26"/>
  <c r="V52" i="26"/>
  <c r="AB73" i="26"/>
  <c r="I77" i="26"/>
  <c r="Z73" i="26"/>
  <c r="K73" i="26"/>
  <c r="H77" i="26"/>
  <c r="K77" i="26"/>
  <c r="O77" i="26"/>
  <c r="G77" i="26"/>
  <c r="Q77" i="26"/>
  <c r="R73" i="26"/>
  <c r="AA73" i="26"/>
  <c r="J77" i="26"/>
  <c r="R77" i="26"/>
  <c r="O73" i="26"/>
  <c r="M77" i="26"/>
  <c r="AZ60" i="26"/>
  <c r="Q73" i="26"/>
  <c r="AE73" i="26"/>
  <c r="I73" i="26"/>
  <c r="V73" i="26"/>
  <c r="N73" i="26"/>
  <c r="Y73" i="26"/>
  <c r="AD73" i="26"/>
  <c r="BC64" i="26"/>
  <c r="L77" i="26"/>
  <c r="T73" i="26"/>
  <c r="L73" i="26"/>
  <c r="BI55" i="26"/>
  <c r="AZ64" i="26"/>
  <c r="AZ72" i="26"/>
  <c r="AZ61" i="26"/>
  <c r="AZ62" i="26"/>
  <c r="BA71" i="26"/>
  <c r="BA62" i="26"/>
  <c r="BA61" i="26"/>
  <c r="BC63" i="26"/>
  <c r="BA60" i="26"/>
  <c r="AZ63" i="26"/>
  <c r="BA63" i="26"/>
  <c r="AZ71" i="26"/>
  <c r="N77" i="26"/>
  <c r="BA72" i="26"/>
  <c r="X73" i="26"/>
  <c r="AZ75" i="26"/>
  <c r="AZ77" i="26" s="1"/>
  <c r="J73" i="26"/>
  <c r="BC76" i="26"/>
  <c r="BC75" i="26"/>
  <c r="BB83" i="26"/>
  <c r="BB84" i="26"/>
  <c r="P73" i="26"/>
  <c r="AC73" i="26"/>
  <c r="BB41" i="26"/>
  <c r="HV76" i="26" s="1"/>
  <c r="T21" i="22"/>
  <c r="HL269" i="26" l="1"/>
  <c r="HL72" i="26" s="1"/>
  <c r="ID72" i="26" s="1"/>
  <c r="L73" i="45"/>
  <c r="L75" i="45" s="1"/>
  <c r="L123" i="45" s="1"/>
  <c r="HJ269" i="26"/>
  <c r="HJ72" i="26" s="1"/>
  <c r="J73" i="45"/>
  <c r="J75" i="45" s="1"/>
  <c r="J123" i="45" s="1"/>
  <c r="HN269" i="26"/>
  <c r="HN72" i="26" s="1"/>
  <c r="N73" i="45"/>
  <c r="N75" i="45" s="1"/>
  <c r="N123" i="45" s="1"/>
  <c r="HM269" i="26"/>
  <c r="HM72" i="26" s="1"/>
  <c r="IE72" i="26" s="1"/>
  <c r="M73" i="45"/>
  <c r="M75" i="45" s="1"/>
  <c r="M123" i="45" s="1"/>
  <c r="HK269" i="26"/>
  <c r="HK72" i="26" s="1"/>
  <c r="K73" i="45"/>
  <c r="K75" i="45" s="1"/>
  <c r="K123" i="45" s="1"/>
  <c r="HO269" i="26"/>
  <c r="HO72" i="26" s="1"/>
  <c r="O73" i="45"/>
  <c r="O75" i="45" s="1"/>
  <c r="O123" i="45" s="1"/>
  <c r="HJ238" i="26"/>
  <c r="HJ239" i="26" s="1"/>
  <c r="J27" i="45"/>
  <c r="M27" i="45"/>
  <c r="HM238" i="26"/>
  <c r="HM239" i="26" s="1"/>
  <c r="HN238" i="26"/>
  <c r="HN239" i="26" s="1"/>
  <c r="N27" i="45"/>
  <c r="O27" i="45"/>
  <c r="HO238" i="26"/>
  <c r="HO239" i="26" s="1"/>
  <c r="HK238" i="26"/>
  <c r="HK239" i="26" s="1"/>
  <c r="K27" i="45"/>
  <c r="HL238" i="26"/>
  <c r="L27" i="45"/>
  <c r="M12" i="45"/>
  <c r="M112" i="45" s="1"/>
  <c r="N62" i="45"/>
  <c r="HM280" i="26"/>
  <c r="K62" i="45"/>
  <c r="HL280" i="26"/>
  <c r="J62" i="45"/>
  <c r="H62" i="45"/>
  <c r="O62" i="45"/>
  <c r="D62" i="45"/>
  <c r="L12" i="45"/>
  <c r="L112" i="45" s="1"/>
  <c r="G62" i="45"/>
  <c r="N12" i="45"/>
  <c r="N112" i="45" s="1"/>
  <c r="O12" i="45"/>
  <c r="O112" i="45" s="1"/>
  <c r="GQ19" i="26"/>
  <c r="GP16" i="26"/>
  <c r="GQ18" i="26"/>
  <c r="GR16" i="26"/>
  <c r="HM187" i="26"/>
  <c r="GO16" i="26"/>
  <c r="GR18" i="26"/>
  <c r="HL187" i="26"/>
  <c r="C62" i="45"/>
  <c r="GR19" i="26"/>
  <c r="HL360" i="26"/>
  <c r="HL377" i="26" s="1"/>
  <c r="HF374" i="26"/>
  <c r="HD360" i="26"/>
  <c r="HO360" i="26" s="1"/>
  <c r="HO361" i="26"/>
  <c r="HB360" i="26"/>
  <c r="HM360" i="26" s="1"/>
  <c r="HM361" i="26"/>
  <c r="HM357" i="26"/>
  <c r="HB374" i="26"/>
  <c r="HG373" i="26"/>
  <c r="HG378" i="26" s="1"/>
  <c r="HG376" i="26"/>
  <c r="GW366" i="26"/>
  <c r="GW377" i="26"/>
  <c r="HA373" i="26"/>
  <c r="HA378" i="26" s="1"/>
  <c r="HA376" i="26"/>
  <c r="GZ373" i="26"/>
  <c r="GZ378" i="26" s="1"/>
  <c r="GZ376" i="26"/>
  <c r="GY373" i="26"/>
  <c r="GY378" i="26" s="1"/>
  <c r="GY376" i="26"/>
  <c r="HD373" i="26"/>
  <c r="HD378" i="26" s="1"/>
  <c r="HD376" i="26"/>
  <c r="HC373" i="26"/>
  <c r="HC378" i="26" s="1"/>
  <c r="HC376" i="26"/>
  <c r="GX373" i="26"/>
  <c r="GX378" i="26" s="1"/>
  <c r="GX376" i="26"/>
  <c r="HE373" i="26"/>
  <c r="HE378" i="26" s="1"/>
  <c r="HE376" i="26"/>
  <c r="HH373" i="26"/>
  <c r="HH378" i="26" s="1"/>
  <c r="HH376" i="26"/>
  <c r="HN360" i="26"/>
  <c r="FI35" i="26"/>
  <c r="FY19" i="26"/>
  <c r="GQ16" i="26"/>
  <c r="HN357" i="26"/>
  <c r="FJ35" i="26"/>
  <c r="FZ19" i="26"/>
  <c r="FL34" i="26"/>
  <c r="FK33" i="26"/>
  <c r="FL33" i="26"/>
  <c r="GW373" i="26"/>
  <c r="GW378" i="26" s="1"/>
  <c r="FK34" i="26"/>
  <c r="FI33" i="26"/>
  <c r="FL35" i="26"/>
  <c r="FK35" i="26"/>
  <c r="FJ33" i="26"/>
  <c r="HM294" i="26"/>
  <c r="HM75" i="26" s="1"/>
  <c r="HU78" i="26" s="1"/>
  <c r="HL370" i="26"/>
  <c r="HL374" i="26" s="1"/>
  <c r="HO357" i="26"/>
  <c r="HB356" i="26"/>
  <c r="HB376" i="26" s="1"/>
  <c r="HK357" i="26"/>
  <c r="HJ357" i="26"/>
  <c r="HF356" i="26"/>
  <c r="HF376" i="26" s="1"/>
  <c r="GX367" i="26"/>
  <c r="GX360" i="26"/>
  <c r="HN370" i="26"/>
  <c r="GY367" i="26"/>
  <c r="GY360" i="26"/>
  <c r="HO370" i="26"/>
  <c r="HM370" i="26"/>
  <c r="HL296" i="26"/>
  <c r="HL77" i="26" s="1"/>
  <c r="HT80" i="26" s="1"/>
  <c r="HV79" i="26"/>
  <c r="HK294" i="26"/>
  <c r="HK75" i="26" s="1"/>
  <c r="HK296" i="26"/>
  <c r="HK77" i="26" s="1"/>
  <c r="HO294" i="26"/>
  <c r="HO75" i="26" s="1"/>
  <c r="HW78" i="26" s="1"/>
  <c r="HJ296" i="26"/>
  <c r="HJ77" i="26" s="1"/>
  <c r="HM296" i="26"/>
  <c r="HM77" i="26" s="1"/>
  <c r="HU80" i="26" s="1"/>
  <c r="HO296" i="26"/>
  <c r="HO77" i="26" s="1"/>
  <c r="HW80" i="26" s="1"/>
  <c r="HN294" i="26"/>
  <c r="HN75" i="26" s="1"/>
  <c r="HV78" i="26" s="1"/>
  <c r="HN296" i="26"/>
  <c r="HN77" i="26" s="1"/>
  <c r="AG17" i="22"/>
  <c r="AD26" i="22"/>
  <c r="AE27" i="22"/>
  <c r="AD27" i="22"/>
  <c r="ID57" i="26"/>
  <c r="EZ35" i="26"/>
  <c r="IE12" i="26"/>
  <c r="FA12" i="26"/>
  <c r="HN61" i="26"/>
  <c r="FB12" i="26"/>
  <c r="FK12" i="26" s="1"/>
  <c r="HO61" i="26"/>
  <c r="FC12" i="26"/>
  <c r="IE57" i="26"/>
  <c r="FA35" i="26"/>
  <c r="T75" i="26"/>
  <c r="T76" i="26"/>
  <c r="BC73" i="26"/>
  <c r="HM61" i="26"/>
  <c r="IE61" i="26" s="1"/>
  <c r="AF17" i="22"/>
  <c r="Y53" i="26"/>
  <c r="Y75" i="26" s="1"/>
  <c r="AA53" i="26"/>
  <c r="AA65" i="26" s="1"/>
  <c r="CL52" i="26"/>
  <c r="DM52" i="26" s="1"/>
  <c r="DM49" i="26"/>
  <c r="CS52" i="26"/>
  <c r="DT52" i="26" s="1"/>
  <c r="DT49" i="26"/>
  <c r="AB53" i="26"/>
  <c r="AB65" i="26" s="1"/>
  <c r="EF49" i="26"/>
  <c r="ER49" i="26" s="1"/>
  <c r="ER46" i="26"/>
  <c r="CO52" i="26"/>
  <c r="DP52" i="26" s="1"/>
  <c r="DP49" i="26"/>
  <c r="CV19" i="26"/>
  <c r="DW14" i="26"/>
  <c r="CQ52" i="26"/>
  <c r="DR52" i="26" s="1"/>
  <c r="DR49" i="26"/>
  <c r="AC53" i="26"/>
  <c r="AC65" i="26" s="1"/>
  <c r="ED49" i="26"/>
  <c r="EP49" i="26" s="1"/>
  <c r="EP46" i="26"/>
  <c r="CU52" i="26"/>
  <c r="DV52" i="26" s="1"/>
  <c r="DV49" i="26"/>
  <c r="EN46" i="26"/>
  <c r="EB49" i="26"/>
  <c r="EN49" i="26" s="1"/>
  <c r="V53" i="26"/>
  <c r="V76" i="26" s="1"/>
  <c r="CP52" i="26"/>
  <c r="DQ52" i="26" s="1"/>
  <c r="DQ49" i="26"/>
  <c r="X53" i="26"/>
  <c r="X76" i="26" s="1"/>
  <c r="DV14" i="26"/>
  <c r="CU19" i="26"/>
  <c r="EE49" i="26"/>
  <c r="EQ49" i="26" s="1"/>
  <c r="EQ46" i="26"/>
  <c r="CR52" i="26"/>
  <c r="DS52" i="26" s="1"/>
  <c r="DS49" i="26"/>
  <c r="AE53" i="26"/>
  <c r="AE65" i="26" s="1"/>
  <c r="U53" i="26"/>
  <c r="U65" i="26" s="1"/>
  <c r="DO49" i="26"/>
  <c r="CN52" i="26"/>
  <c r="DO52" i="26" s="1"/>
  <c r="CT52" i="26"/>
  <c r="DU52" i="26" s="1"/>
  <c r="DU49" i="26"/>
  <c r="CV52" i="26"/>
  <c r="DW52" i="26" s="1"/>
  <c r="DW49" i="26"/>
  <c r="W53" i="26"/>
  <c r="W65" i="26" s="1"/>
  <c r="Z53" i="26"/>
  <c r="Z65" i="26" s="1"/>
  <c r="CM52" i="26"/>
  <c r="DN52" i="26" s="1"/>
  <c r="DN49" i="26"/>
  <c r="JB46" i="26"/>
  <c r="EA49" i="26"/>
  <c r="EM46" i="26"/>
  <c r="AD53" i="26"/>
  <c r="AD75" i="26" s="1"/>
  <c r="EC49" i="26"/>
  <c r="EO49" i="26" s="1"/>
  <c r="EO46" i="26"/>
  <c r="T62" i="26"/>
  <c r="T64" i="26"/>
  <c r="GZ360" i="26"/>
  <c r="GZ377" i="26" s="1"/>
  <c r="GZ367" i="26"/>
  <c r="AF11" i="22"/>
  <c r="AI14" i="22"/>
  <c r="HF232" i="26"/>
  <c r="HL232" i="26" s="1"/>
  <c r="AE14" i="22"/>
  <c r="AH17" i="22"/>
  <c r="HM185" i="26"/>
  <c r="HL185" i="26"/>
  <c r="GW274" i="26"/>
  <c r="GW72" i="26" s="1"/>
  <c r="ID58" i="26"/>
  <c r="IE59" i="26"/>
  <c r="IE58" i="26"/>
  <c r="AH8" i="22"/>
  <c r="AH12" i="22"/>
  <c r="AH16" i="22"/>
  <c r="GZ255" i="26"/>
  <c r="GZ63" i="26" s="1"/>
  <c r="GX255" i="26"/>
  <c r="GX63" i="26" s="1"/>
  <c r="GY255" i="26"/>
  <c r="GY63" i="26" s="1"/>
  <c r="HC72" i="26"/>
  <c r="HE72" i="26"/>
  <c r="HA72" i="26"/>
  <c r="HF72" i="26"/>
  <c r="HD72" i="26"/>
  <c r="HB72" i="26"/>
  <c r="GX72" i="26"/>
  <c r="HG72" i="26"/>
  <c r="GY72" i="26"/>
  <c r="GZ72" i="26"/>
  <c r="HH72" i="26"/>
  <c r="AG11" i="22"/>
  <c r="AH22" i="22"/>
  <c r="AG13" i="22"/>
  <c r="AF12" i="22"/>
  <c r="AI17" i="22"/>
  <c r="AF10" i="22"/>
  <c r="AG10" i="22"/>
  <c r="AI12" i="22"/>
  <c r="AE12" i="22"/>
  <c r="AF9" i="22"/>
  <c r="AG9" i="22"/>
  <c r="AG8" i="22"/>
  <c r="AH13" i="22"/>
  <c r="AI8" i="22"/>
  <c r="AG12" i="22"/>
  <c r="AF22" i="22"/>
  <c r="AG24" i="22"/>
  <c r="AH14" i="22"/>
  <c r="AH24" i="22"/>
  <c r="AF14" i="22"/>
  <c r="AH9" i="22"/>
  <c r="AF13" i="22"/>
  <c r="AI11" i="22"/>
  <c r="AG23" i="22"/>
  <c r="AI24" i="22"/>
  <c r="AH15" i="22"/>
  <c r="AH11" i="22"/>
  <c r="AF15" i="22"/>
  <c r="AI22" i="22"/>
  <c r="AH21" i="22"/>
  <c r="AG22" i="22"/>
  <c r="AH23" i="22"/>
  <c r="AI23" i="22"/>
  <c r="AH10" i="22"/>
  <c r="AI21" i="22"/>
  <c r="AG21" i="22"/>
  <c r="AE16" i="22"/>
  <c r="AI16" i="22"/>
  <c r="AF24" i="22"/>
  <c r="AI13" i="22"/>
  <c r="AI15" i="22"/>
  <c r="AI9" i="22"/>
  <c r="AG15" i="22"/>
  <c r="AI10" i="22"/>
  <c r="BC77" i="26"/>
  <c r="BB42" i="26"/>
  <c r="HV77" i="26" s="1"/>
  <c r="AZ73" i="26"/>
  <c r="BA73" i="26"/>
  <c r="HL239" i="26" l="1"/>
  <c r="L62" i="45"/>
  <c r="E62" i="45"/>
  <c r="F62" i="45"/>
  <c r="M62" i="45"/>
  <c r="GP19" i="26"/>
  <c r="GO19" i="26"/>
  <c r="HB377" i="26"/>
  <c r="HD377" i="26"/>
  <c r="HM374" i="26"/>
  <c r="HM377" i="26"/>
  <c r="GX366" i="26"/>
  <c r="GX377" i="26"/>
  <c r="HO377" i="26"/>
  <c r="HJ374" i="26"/>
  <c r="HJ361" i="26"/>
  <c r="HJ360" i="26" s="1"/>
  <c r="HN377" i="26"/>
  <c r="HK374" i="26"/>
  <c r="HK361" i="26"/>
  <c r="HK360" i="26" s="1"/>
  <c r="GY366" i="26"/>
  <c r="GY377" i="26"/>
  <c r="HO374" i="26"/>
  <c r="HL356" i="26"/>
  <c r="HF373" i="26"/>
  <c r="HF378" i="26" s="1"/>
  <c r="HN374" i="26"/>
  <c r="HO356" i="26"/>
  <c r="HO373" i="26" s="1"/>
  <c r="HB373" i="26"/>
  <c r="HB378" i="26" s="1"/>
  <c r="HM356" i="26"/>
  <c r="FI34" i="26"/>
  <c r="FY18" i="26"/>
  <c r="FJ34" i="26"/>
  <c r="FZ18" i="26"/>
  <c r="FS12" i="26"/>
  <c r="F13" i="45" s="1"/>
  <c r="FJ12" i="26"/>
  <c r="FU12" i="26"/>
  <c r="H13" i="45" s="1"/>
  <c r="FL12" i="26"/>
  <c r="HN356" i="26"/>
  <c r="HN373" i="26" s="1"/>
  <c r="HK356" i="26"/>
  <c r="HK376" i="26" s="1"/>
  <c r="HJ356" i="26"/>
  <c r="HJ376" i="26" s="1"/>
  <c r="HV80" i="26"/>
  <c r="AI27" i="22"/>
  <c r="AE26" i="22"/>
  <c r="AF27" i="22"/>
  <c r="AG26" i="22"/>
  <c r="AH26" i="22"/>
  <c r="AF26" i="22"/>
  <c r="AH27" i="22"/>
  <c r="AG27" i="22"/>
  <c r="AI26" i="22"/>
  <c r="FT12" i="26"/>
  <c r="G13" i="45" s="1"/>
  <c r="Y65" i="26"/>
  <c r="AA75" i="26"/>
  <c r="U75" i="26"/>
  <c r="T77" i="26"/>
  <c r="V65" i="26"/>
  <c r="AD65" i="26"/>
  <c r="AC76" i="26"/>
  <c r="X65" i="26"/>
  <c r="X75" i="26"/>
  <c r="X77" i="26" s="1"/>
  <c r="DV19" i="26"/>
  <c r="CU25" i="26"/>
  <c r="AB64" i="26"/>
  <c r="AB62" i="26"/>
  <c r="AE75" i="26"/>
  <c r="X64" i="26"/>
  <c r="X62" i="26"/>
  <c r="AB75" i="26"/>
  <c r="AC62" i="26"/>
  <c r="AC64" i="26"/>
  <c r="AC75" i="26"/>
  <c r="Z64" i="26"/>
  <c r="Z62" i="26"/>
  <c r="U64" i="26"/>
  <c r="U62" i="26"/>
  <c r="AA62" i="26"/>
  <c r="AA64" i="26"/>
  <c r="JB49" i="26"/>
  <c r="EM49" i="26"/>
  <c r="W62" i="26"/>
  <c r="W64" i="26"/>
  <c r="AE62" i="26"/>
  <c r="AE64" i="26"/>
  <c r="V64" i="26"/>
  <c r="V62" i="26"/>
  <c r="DW19" i="26"/>
  <c r="CV25" i="26"/>
  <c r="AA76" i="26"/>
  <c r="AD62" i="26"/>
  <c r="AD64" i="26"/>
  <c r="Y64" i="26"/>
  <c r="Y62" i="26"/>
  <c r="W76" i="26"/>
  <c r="BK55" i="26"/>
  <c r="W75" i="26"/>
  <c r="AB76" i="26"/>
  <c r="U76" i="26"/>
  <c r="AD76" i="26"/>
  <c r="AD77" i="26" s="1"/>
  <c r="Y76" i="26"/>
  <c r="Y77" i="26" s="1"/>
  <c r="V75" i="26"/>
  <c r="V77" i="26" s="1"/>
  <c r="Z75" i="26"/>
  <c r="AE76" i="26"/>
  <c r="Z76" i="26"/>
  <c r="BK56" i="26"/>
  <c r="GZ366" i="26"/>
  <c r="BB87" i="26"/>
  <c r="BB86" i="26"/>
  <c r="G18" i="45" l="1"/>
  <c r="G78" i="45" s="1"/>
  <c r="N78" i="45" s="1"/>
  <c r="G114" i="45"/>
  <c r="H18" i="45"/>
  <c r="H78" i="45" s="1"/>
  <c r="O78" i="45" s="1"/>
  <c r="H114" i="45"/>
  <c r="F18" i="45"/>
  <c r="F78" i="45" s="1"/>
  <c r="M78" i="45" s="1"/>
  <c r="F114" i="45"/>
  <c r="GP18" i="26"/>
  <c r="GI12" i="26"/>
  <c r="F80" i="45"/>
  <c r="GO18" i="26"/>
  <c r="GK12" i="26"/>
  <c r="H80" i="45"/>
  <c r="G80" i="45"/>
  <c r="HN376" i="26"/>
  <c r="HO376" i="26"/>
  <c r="HL373" i="26"/>
  <c r="HL378" i="26" s="1"/>
  <c r="HL376" i="26"/>
  <c r="HM373" i="26"/>
  <c r="HM378" i="26" s="1"/>
  <c r="HM376" i="26"/>
  <c r="HN378" i="26"/>
  <c r="HO378" i="26"/>
  <c r="HJ373" i="26"/>
  <c r="HJ378" i="26" s="1"/>
  <c r="HK373" i="26"/>
  <c r="HK378" i="26" s="1"/>
  <c r="GB12" i="26"/>
  <c r="O13" i="45" s="1"/>
  <c r="O114" i="45" s="1"/>
  <c r="FZ12" i="26"/>
  <c r="M13" i="45" s="1"/>
  <c r="M114" i="45" s="1"/>
  <c r="GA12" i="26"/>
  <c r="N13" i="45" s="1"/>
  <c r="N114" i="45" s="1"/>
  <c r="GJ12" i="26"/>
  <c r="AC77" i="26"/>
  <c r="U77" i="26"/>
  <c r="AE77" i="26"/>
  <c r="AA77" i="26"/>
  <c r="W77" i="26"/>
  <c r="DV25" i="26"/>
  <c r="CU29" i="26"/>
  <c r="DV29" i="26" s="1"/>
  <c r="CV29" i="26"/>
  <c r="DW29" i="26" s="1"/>
  <c r="DW25" i="26"/>
  <c r="AB77" i="26"/>
  <c r="Z77" i="26"/>
  <c r="Q19" i="22"/>
  <c r="R19" i="22"/>
  <c r="S19" i="22"/>
  <c r="T19" i="22"/>
  <c r="U19" i="22"/>
  <c r="V19" i="22"/>
  <c r="W19" i="22"/>
  <c r="X19" i="22"/>
  <c r="Y19" i="22"/>
  <c r="Z19" i="22"/>
  <c r="AA19" i="22"/>
  <c r="P19" i="22"/>
  <c r="P7" i="22"/>
  <c r="P20" i="22" s="1"/>
  <c r="D19" i="22"/>
  <c r="E19" i="22"/>
  <c r="F19" i="22"/>
  <c r="G19" i="22"/>
  <c r="H19" i="22"/>
  <c r="I19" i="22"/>
  <c r="J19" i="22"/>
  <c r="K19" i="22"/>
  <c r="L19" i="22"/>
  <c r="M19" i="22"/>
  <c r="N19" i="22"/>
  <c r="C20" i="22"/>
  <c r="C19" i="22"/>
  <c r="G7" i="22"/>
  <c r="G20" i="22" s="1"/>
  <c r="D7" i="22"/>
  <c r="E7" i="22" s="1"/>
  <c r="E20" i="22" s="1"/>
  <c r="AM22" i="22"/>
  <c r="AN22" i="22"/>
  <c r="AO22" i="22"/>
  <c r="AP22" i="22"/>
  <c r="AQ22" i="22"/>
  <c r="AR22" i="22"/>
  <c r="AM23" i="22"/>
  <c r="AN23" i="22"/>
  <c r="AO23" i="22"/>
  <c r="AP23" i="22"/>
  <c r="AQ23" i="22"/>
  <c r="AR23" i="22"/>
  <c r="AM24" i="22"/>
  <c r="AN24" i="22"/>
  <c r="AO24" i="22"/>
  <c r="AP24" i="22"/>
  <c r="AQ24" i="22"/>
  <c r="AR24" i="22"/>
  <c r="AN21" i="22"/>
  <c r="AO21" i="22"/>
  <c r="AP21" i="22"/>
  <c r="AQ21" i="22"/>
  <c r="AR21" i="22"/>
  <c r="AN19" i="22"/>
  <c r="AO19" i="22"/>
  <c r="AP19" i="22"/>
  <c r="AQ19" i="22"/>
  <c r="AR19" i="22"/>
  <c r="AN20" i="22"/>
  <c r="AO20" i="22"/>
  <c r="AP20" i="22"/>
  <c r="AQ20" i="22"/>
  <c r="AR20" i="22"/>
  <c r="AM20" i="22"/>
  <c r="AM19" i="22"/>
  <c r="AO9" i="22"/>
  <c r="AP9" i="22"/>
  <c r="AQ9" i="22"/>
  <c r="AR9" i="22"/>
  <c r="AO10" i="22"/>
  <c r="AP10" i="22"/>
  <c r="AQ10" i="22"/>
  <c r="AR10" i="22"/>
  <c r="AO11" i="22"/>
  <c r="AP11" i="22"/>
  <c r="AQ11" i="22"/>
  <c r="AR11" i="22"/>
  <c r="AO12" i="22"/>
  <c r="AP12" i="22"/>
  <c r="AQ12" i="22"/>
  <c r="AR12" i="22"/>
  <c r="AN13" i="22"/>
  <c r="AO13" i="22"/>
  <c r="AP13" i="22"/>
  <c r="AQ13" i="22"/>
  <c r="AR13" i="22"/>
  <c r="AN14" i="22"/>
  <c r="AO14" i="22"/>
  <c r="AP14" i="22"/>
  <c r="AQ14" i="22"/>
  <c r="AR14" i="22"/>
  <c r="AO15" i="22"/>
  <c r="AP15" i="22"/>
  <c r="AQ15" i="22"/>
  <c r="AR15" i="22"/>
  <c r="AO16" i="22"/>
  <c r="AP16" i="22"/>
  <c r="AQ16" i="22"/>
  <c r="AR16" i="22"/>
  <c r="AO17" i="22"/>
  <c r="AP17" i="22"/>
  <c r="AQ17" i="22"/>
  <c r="AR17" i="22"/>
  <c r="AO8" i="22"/>
  <c r="AP8" i="22"/>
  <c r="AQ8" i="22"/>
  <c r="AR8" i="22"/>
  <c r="AE19" i="22"/>
  <c r="AF19" i="22"/>
  <c r="AG19" i="22"/>
  <c r="AH19" i="22"/>
  <c r="AI19" i="22"/>
  <c r="AE20" i="22"/>
  <c r="AF20" i="22"/>
  <c r="AG20" i="22"/>
  <c r="AH20" i="22"/>
  <c r="AI20" i="22"/>
  <c r="AD20" i="22"/>
  <c r="AD19" i="22"/>
  <c r="O80" i="45" l="1"/>
  <c r="O128" i="45" s="1"/>
  <c r="H128" i="45"/>
  <c r="M80" i="45"/>
  <c r="M128" i="45" s="1"/>
  <c r="F128" i="45"/>
  <c r="N80" i="45"/>
  <c r="N128" i="45" s="1"/>
  <c r="G128" i="45"/>
  <c r="N18" i="45"/>
  <c r="N14" i="45"/>
  <c r="M18" i="45"/>
  <c r="M14" i="45"/>
  <c r="O18" i="45"/>
  <c r="O14" i="45"/>
  <c r="GP12" i="26"/>
  <c r="GR12" i="26"/>
  <c r="GQ12" i="26"/>
  <c r="Q7" i="22"/>
  <c r="Q20" i="22" s="1"/>
  <c r="AR27" i="22"/>
  <c r="AO27" i="22"/>
  <c r="AP27" i="22"/>
  <c r="AN27" i="22"/>
  <c r="AQ27" i="22"/>
  <c r="AR26" i="22"/>
  <c r="AQ26" i="22"/>
  <c r="AP26" i="22"/>
  <c r="AO26" i="22"/>
  <c r="T7" i="22"/>
  <c r="T20" i="22" s="1"/>
  <c r="R7" i="22"/>
  <c r="R20" i="22" s="1"/>
  <c r="D20" i="22"/>
  <c r="K7" i="22"/>
  <c r="H7" i="22"/>
  <c r="F7" i="22"/>
  <c r="S7" i="22" s="1"/>
  <c r="S20" i="22" s="1"/>
  <c r="I7" i="22"/>
  <c r="V7" i="22" s="1"/>
  <c r="V20" i="22" s="1"/>
  <c r="BH9" i="4"/>
  <c r="BI9" i="4"/>
  <c r="BJ9" i="4"/>
  <c r="BK9" i="4"/>
  <c r="BH10" i="4"/>
  <c r="BI10" i="4"/>
  <c r="BJ10" i="4"/>
  <c r="BK10" i="4"/>
  <c r="BH11" i="4"/>
  <c r="BI11" i="4"/>
  <c r="BJ11" i="4"/>
  <c r="BK11" i="4"/>
  <c r="BH12" i="4"/>
  <c r="BI12" i="4"/>
  <c r="BJ12" i="4"/>
  <c r="BK12" i="4"/>
  <c r="BB7" i="4"/>
  <c r="BA7" i="4"/>
  <c r="AX8" i="4"/>
  <c r="AW8" i="4"/>
  <c r="AW7" i="4"/>
  <c r="R11" i="4"/>
  <c r="S11" i="4"/>
  <c r="T11" i="4"/>
  <c r="U11" i="4"/>
  <c r="V11" i="4"/>
  <c r="W11" i="4"/>
  <c r="X11" i="4"/>
  <c r="Y11" i="4"/>
  <c r="Z11" i="4"/>
  <c r="AA11" i="4"/>
  <c r="AB11" i="4"/>
  <c r="AC11" i="4"/>
  <c r="R12" i="4"/>
  <c r="S12" i="4"/>
  <c r="T12" i="4"/>
  <c r="U12" i="4"/>
  <c r="V12" i="4"/>
  <c r="W12" i="4"/>
  <c r="AN12" i="4" s="1"/>
  <c r="X12" i="4"/>
  <c r="Y12" i="4"/>
  <c r="Z12" i="4"/>
  <c r="AA12" i="4"/>
  <c r="AM12" i="4" s="1"/>
  <c r="AB12" i="4"/>
  <c r="AC12" i="4"/>
  <c r="R13" i="4"/>
  <c r="S13" i="4"/>
  <c r="T13" i="4"/>
  <c r="U13" i="4"/>
  <c r="V13" i="4"/>
  <c r="W13" i="4"/>
  <c r="AN13" i="4" s="1"/>
  <c r="X13" i="4"/>
  <c r="Y13" i="4"/>
  <c r="Z13" i="4"/>
  <c r="AA13" i="4"/>
  <c r="AM13" i="4" s="1"/>
  <c r="AB13" i="4"/>
  <c r="AC13" i="4"/>
  <c r="R14" i="4"/>
  <c r="S14" i="4"/>
  <c r="T14" i="4"/>
  <c r="U14" i="4"/>
  <c r="V14" i="4"/>
  <c r="W14" i="4"/>
  <c r="AN14" i="4" s="1"/>
  <c r="X14" i="4"/>
  <c r="Y14" i="4"/>
  <c r="Z14" i="4"/>
  <c r="AA14" i="4"/>
  <c r="AM14" i="4" s="1"/>
  <c r="AB14" i="4"/>
  <c r="AC14" i="4"/>
  <c r="R15" i="4"/>
  <c r="S15" i="4"/>
  <c r="T15" i="4"/>
  <c r="U15" i="4"/>
  <c r="V15" i="4"/>
  <c r="W15" i="4"/>
  <c r="AN15" i="4" s="1"/>
  <c r="X15" i="4"/>
  <c r="Y15" i="4"/>
  <c r="Z15" i="4"/>
  <c r="AA15" i="4"/>
  <c r="AM15" i="4" s="1"/>
  <c r="AB15" i="4"/>
  <c r="AC15" i="4"/>
  <c r="R16" i="4"/>
  <c r="S16" i="4"/>
  <c r="T16" i="4"/>
  <c r="U16" i="4"/>
  <c r="V16" i="4"/>
  <c r="W16" i="4"/>
  <c r="AN16" i="4" s="1"/>
  <c r="X16" i="4"/>
  <c r="Y16" i="4"/>
  <c r="Z16" i="4"/>
  <c r="AA16" i="4"/>
  <c r="AM16" i="4" s="1"/>
  <c r="AB16" i="4"/>
  <c r="AC16" i="4"/>
  <c r="R17" i="4"/>
  <c r="S17" i="4"/>
  <c r="T17" i="4"/>
  <c r="U17" i="4"/>
  <c r="V17" i="4"/>
  <c r="W17" i="4"/>
  <c r="AN17" i="4" s="1"/>
  <c r="X17" i="4"/>
  <c r="Y17" i="4"/>
  <c r="Z17" i="4"/>
  <c r="AA17" i="4"/>
  <c r="AM17" i="4" s="1"/>
  <c r="AB17" i="4"/>
  <c r="AC17" i="4"/>
  <c r="R18" i="4"/>
  <c r="S18" i="4"/>
  <c r="T18" i="4"/>
  <c r="U18" i="4"/>
  <c r="V18" i="4"/>
  <c r="W18" i="4"/>
  <c r="AN18" i="4" s="1"/>
  <c r="X18" i="4"/>
  <c r="Y18" i="4"/>
  <c r="Z18" i="4"/>
  <c r="AA18" i="4"/>
  <c r="AM18" i="4" s="1"/>
  <c r="AB18" i="4"/>
  <c r="AC18" i="4"/>
  <c r="R19" i="4"/>
  <c r="S19" i="4"/>
  <c r="T19" i="4"/>
  <c r="U19" i="4"/>
  <c r="V19" i="4"/>
  <c r="W19" i="4"/>
  <c r="X19" i="4"/>
  <c r="Y19" i="4"/>
  <c r="Z19" i="4"/>
  <c r="AA19" i="4"/>
  <c r="AB19" i="4"/>
  <c r="AC19" i="4"/>
  <c r="R20" i="4"/>
  <c r="S20" i="4"/>
  <c r="T20" i="4"/>
  <c r="U20" i="4"/>
  <c r="V20" i="4"/>
  <c r="W20" i="4"/>
  <c r="AN20" i="4" s="1"/>
  <c r="X20" i="4"/>
  <c r="Y20" i="4"/>
  <c r="Z20" i="4"/>
  <c r="AA20" i="4"/>
  <c r="AM20" i="4" s="1"/>
  <c r="AB20" i="4"/>
  <c r="AC20" i="4"/>
  <c r="R21" i="4"/>
  <c r="S21" i="4"/>
  <c r="T21" i="4"/>
  <c r="U21" i="4"/>
  <c r="V21" i="4"/>
  <c r="W21" i="4"/>
  <c r="AN21" i="4" s="1"/>
  <c r="X21" i="4"/>
  <c r="Y21" i="4"/>
  <c r="Z21" i="4"/>
  <c r="AA21" i="4"/>
  <c r="AM21" i="4" s="1"/>
  <c r="AB21" i="4"/>
  <c r="AC21" i="4"/>
  <c r="R22" i="4"/>
  <c r="S22" i="4"/>
  <c r="T22" i="4"/>
  <c r="U22" i="4"/>
  <c r="V22" i="4"/>
  <c r="W22" i="4"/>
  <c r="AN22" i="4" s="1"/>
  <c r="X22" i="4"/>
  <c r="Y22" i="4"/>
  <c r="Z22" i="4"/>
  <c r="AA22" i="4"/>
  <c r="AM22" i="4" s="1"/>
  <c r="AB22" i="4"/>
  <c r="AC22" i="4"/>
  <c r="R23" i="4"/>
  <c r="GW14" i="26" s="1"/>
  <c r="S23" i="4"/>
  <c r="GX14" i="26" s="1"/>
  <c r="T23" i="4"/>
  <c r="GY14" i="26" s="1"/>
  <c r="U23" i="4"/>
  <c r="GZ14" i="26" s="1"/>
  <c r="V23" i="4"/>
  <c r="HA14" i="26" s="1"/>
  <c r="W23" i="4"/>
  <c r="HB14" i="26" s="1"/>
  <c r="HK14" i="26" s="1"/>
  <c r="X23" i="4"/>
  <c r="HC14" i="26" s="1"/>
  <c r="Y23" i="4"/>
  <c r="HD14" i="26" s="1"/>
  <c r="Z23" i="4"/>
  <c r="HE14" i="26" s="1"/>
  <c r="AA23" i="4"/>
  <c r="HF14" i="26" s="1"/>
  <c r="HJ14" i="26" s="1"/>
  <c r="AB23" i="4"/>
  <c r="HG14" i="26" s="1"/>
  <c r="AC23" i="4"/>
  <c r="HH14" i="26" s="1"/>
  <c r="R24" i="4"/>
  <c r="S24" i="4"/>
  <c r="T24" i="4"/>
  <c r="U24" i="4"/>
  <c r="V24" i="4"/>
  <c r="W24" i="4"/>
  <c r="X24" i="4"/>
  <c r="Y24" i="4"/>
  <c r="Z24" i="4"/>
  <c r="AA24" i="4"/>
  <c r="AB24" i="4"/>
  <c r="AC24" i="4"/>
  <c r="R25" i="4"/>
  <c r="S25" i="4"/>
  <c r="T25" i="4"/>
  <c r="U25" i="4"/>
  <c r="V25" i="4"/>
  <c r="W25" i="4"/>
  <c r="AN25" i="4" s="1"/>
  <c r="X25" i="4"/>
  <c r="Y25" i="4"/>
  <c r="Z25" i="4"/>
  <c r="AA25" i="4"/>
  <c r="AM25" i="4" s="1"/>
  <c r="AB25" i="4"/>
  <c r="AC25" i="4"/>
  <c r="R26" i="4"/>
  <c r="S26" i="4"/>
  <c r="T26" i="4"/>
  <c r="U26" i="4"/>
  <c r="V26" i="4"/>
  <c r="W26" i="4"/>
  <c r="AN26" i="4" s="1"/>
  <c r="X26" i="4"/>
  <c r="Y26" i="4"/>
  <c r="Z26" i="4"/>
  <c r="AA26" i="4"/>
  <c r="AM26" i="4" s="1"/>
  <c r="AB26" i="4"/>
  <c r="AC26" i="4"/>
  <c r="R27" i="4"/>
  <c r="S27" i="4"/>
  <c r="T27" i="4"/>
  <c r="U27" i="4"/>
  <c r="V27" i="4"/>
  <c r="W27" i="4"/>
  <c r="AN27" i="4" s="1"/>
  <c r="X27" i="4"/>
  <c r="Y27" i="4"/>
  <c r="Z27" i="4"/>
  <c r="AA27" i="4"/>
  <c r="AM27" i="4" s="1"/>
  <c r="AB27" i="4"/>
  <c r="AC27" i="4"/>
  <c r="R28" i="4"/>
  <c r="S28" i="4"/>
  <c r="T28" i="4"/>
  <c r="U28" i="4"/>
  <c r="V28" i="4"/>
  <c r="W28" i="4"/>
  <c r="X28" i="4"/>
  <c r="Y28" i="4"/>
  <c r="Z28" i="4"/>
  <c r="AA28" i="4"/>
  <c r="AB28" i="4"/>
  <c r="AC28" i="4"/>
  <c r="R29" i="4"/>
  <c r="S29" i="4"/>
  <c r="T29" i="4"/>
  <c r="U29" i="4"/>
  <c r="V29" i="4"/>
  <c r="W29" i="4"/>
  <c r="AN29" i="4" s="1"/>
  <c r="X29" i="4"/>
  <c r="Y29" i="4"/>
  <c r="Z29" i="4"/>
  <c r="AA29" i="4"/>
  <c r="AM29" i="4" s="1"/>
  <c r="AB29" i="4"/>
  <c r="AC29" i="4"/>
  <c r="R30" i="4"/>
  <c r="S30" i="4"/>
  <c r="T30" i="4"/>
  <c r="U30" i="4"/>
  <c r="V30" i="4"/>
  <c r="W30" i="4"/>
  <c r="AN30" i="4" s="1"/>
  <c r="X30" i="4"/>
  <c r="Y30" i="4"/>
  <c r="Z30" i="4"/>
  <c r="AA30" i="4"/>
  <c r="AM30" i="4" s="1"/>
  <c r="AB30" i="4"/>
  <c r="AC30" i="4"/>
  <c r="R31" i="4"/>
  <c r="S31" i="4"/>
  <c r="T31" i="4"/>
  <c r="U31" i="4"/>
  <c r="V31" i="4"/>
  <c r="W31" i="4"/>
  <c r="AN31" i="4" s="1"/>
  <c r="X31" i="4"/>
  <c r="Y31" i="4"/>
  <c r="Z31" i="4"/>
  <c r="AA31" i="4"/>
  <c r="AM31" i="4" s="1"/>
  <c r="AB31" i="4"/>
  <c r="AC31" i="4"/>
  <c r="R32" i="4"/>
  <c r="S32" i="4"/>
  <c r="T32" i="4"/>
  <c r="U32" i="4"/>
  <c r="V32" i="4"/>
  <c r="W32" i="4"/>
  <c r="AN32" i="4" s="1"/>
  <c r="X32" i="4"/>
  <c r="Y32" i="4"/>
  <c r="Z32" i="4"/>
  <c r="AA32" i="4"/>
  <c r="AM32" i="4" s="1"/>
  <c r="AB32" i="4"/>
  <c r="AC32" i="4"/>
  <c r="R33" i="4"/>
  <c r="S33" i="4"/>
  <c r="T33" i="4"/>
  <c r="U33" i="4"/>
  <c r="V33" i="4"/>
  <c r="W33" i="4"/>
  <c r="AN33" i="4" s="1"/>
  <c r="X33" i="4"/>
  <c r="Y33" i="4"/>
  <c r="Z33" i="4"/>
  <c r="AA33" i="4"/>
  <c r="AM33" i="4" s="1"/>
  <c r="AB33" i="4"/>
  <c r="AC33" i="4"/>
  <c r="R34" i="4"/>
  <c r="S34" i="4"/>
  <c r="T34" i="4"/>
  <c r="U34" i="4"/>
  <c r="V34" i="4"/>
  <c r="W34" i="4"/>
  <c r="AN34" i="4" s="1"/>
  <c r="X34" i="4"/>
  <c r="Y34" i="4"/>
  <c r="Z34" i="4"/>
  <c r="AA34" i="4"/>
  <c r="AM34" i="4" s="1"/>
  <c r="AB34" i="4"/>
  <c r="AC34" i="4"/>
  <c r="R35" i="4"/>
  <c r="S35" i="4"/>
  <c r="T35" i="4"/>
  <c r="U35" i="4"/>
  <c r="V35" i="4"/>
  <c r="W35" i="4"/>
  <c r="AN35" i="4" s="1"/>
  <c r="X35" i="4"/>
  <c r="Y35" i="4"/>
  <c r="Z35" i="4"/>
  <c r="AA35" i="4"/>
  <c r="AM35" i="4" s="1"/>
  <c r="AB35" i="4"/>
  <c r="AC35" i="4"/>
  <c r="R36" i="4"/>
  <c r="S36" i="4"/>
  <c r="T36" i="4"/>
  <c r="U36" i="4"/>
  <c r="V36" i="4"/>
  <c r="W36" i="4"/>
  <c r="AN36" i="4" s="1"/>
  <c r="X36" i="4"/>
  <c r="Y36" i="4"/>
  <c r="Z36" i="4"/>
  <c r="AA36" i="4"/>
  <c r="AM36" i="4" s="1"/>
  <c r="AB36" i="4"/>
  <c r="AC36" i="4"/>
  <c r="R37" i="4"/>
  <c r="S37" i="4"/>
  <c r="T37" i="4"/>
  <c r="U37" i="4"/>
  <c r="V37" i="4"/>
  <c r="W37" i="4"/>
  <c r="X37" i="4"/>
  <c r="Y37" i="4"/>
  <c r="Z37" i="4"/>
  <c r="AA37" i="4"/>
  <c r="AB37" i="4"/>
  <c r="AC37" i="4"/>
  <c r="R38" i="4"/>
  <c r="S38" i="4"/>
  <c r="T38" i="4"/>
  <c r="U38" i="4"/>
  <c r="V38" i="4"/>
  <c r="W38" i="4"/>
  <c r="AN38" i="4" s="1"/>
  <c r="X38" i="4"/>
  <c r="AQ38" i="4" s="1"/>
  <c r="Y38" i="4"/>
  <c r="Z38" i="4"/>
  <c r="AA38" i="4"/>
  <c r="AM38" i="4" s="1"/>
  <c r="AB38" i="4"/>
  <c r="AC38" i="4"/>
  <c r="R39" i="4"/>
  <c r="S39" i="4"/>
  <c r="T39" i="4"/>
  <c r="U39" i="4"/>
  <c r="V39" i="4"/>
  <c r="W39" i="4"/>
  <c r="AN39" i="4" s="1"/>
  <c r="X39" i="4"/>
  <c r="Y39" i="4"/>
  <c r="Z39" i="4"/>
  <c r="AA39" i="4"/>
  <c r="AM39" i="4" s="1"/>
  <c r="AB39" i="4"/>
  <c r="AC39" i="4"/>
  <c r="R40" i="4"/>
  <c r="S40" i="4"/>
  <c r="T40" i="4"/>
  <c r="U40" i="4"/>
  <c r="V40" i="4"/>
  <c r="W40" i="4"/>
  <c r="AN40" i="4" s="1"/>
  <c r="AN48" i="4" s="1"/>
  <c r="X40" i="4"/>
  <c r="Y40" i="4"/>
  <c r="Z40" i="4"/>
  <c r="AA40" i="4"/>
  <c r="AM40" i="4" s="1"/>
  <c r="AM48" i="4" s="1"/>
  <c r="AB40" i="4"/>
  <c r="AC40" i="4"/>
  <c r="R41" i="4"/>
  <c r="S41" i="4"/>
  <c r="T41" i="4"/>
  <c r="U41" i="4"/>
  <c r="V41" i="4"/>
  <c r="W41" i="4"/>
  <c r="X41" i="4"/>
  <c r="Y41" i="4"/>
  <c r="Z41" i="4"/>
  <c r="AA41" i="4"/>
  <c r="AB41" i="4"/>
  <c r="AC41" i="4"/>
  <c r="R42" i="4"/>
  <c r="S42" i="4"/>
  <c r="T42" i="4"/>
  <c r="U42" i="4"/>
  <c r="V42" i="4"/>
  <c r="W42" i="4"/>
  <c r="AN42" i="4" s="1"/>
  <c r="X42" i="4"/>
  <c r="Y42" i="4"/>
  <c r="Z42" i="4"/>
  <c r="AA42" i="4"/>
  <c r="AM42" i="4" s="1"/>
  <c r="AB42" i="4"/>
  <c r="AC42" i="4"/>
  <c r="R43" i="4"/>
  <c r="S43" i="4"/>
  <c r="T43" i="4"/>
  <c r="U43" i="4"/>
  <c r="V43" i="4"/>
  <c r="W43" i="4"/>
  <c r="AN43" i="4" s="1"/>
  <c r="X43" i="4"/>
  <c r="Y43" i="4"/>
  <c r="Z43" i="4"/>
  <c r="AA43" i="4"/>
  <c r="AB43" i="4"/>
  <c r="AC43" i="4"/>
  <c r="AA10" i="4"/>
  <c r="AB10" i="4"/>
  <c r="AC10" i="4"/>
  <c r="Z10" i="4"/>
  <c r="W10" i="4"/>
  <c r="X10" i="4"/>
  <c r="Y10" i="4"/>
  <c r="V10" i="4"/>
  <c r="S10" i="4"/>
  <c r="T10" i="4"/>
  <c r="U10" i="4"/>
  <c r="R10" i="4"/>
  <c r="O10" i="4"/>
  <c r="P10" i="4"/>
  <c r="O11" i="4"/>
  <c r="P11" i="4"/>
  <c r="O12" i="4"/>
  <c r="P12" i="4"/>
  <c r="O13" i="4"/>
  <c r="P13" i="4"/>
  <c r="O14" i="4"/>
  <c r="P14" i="4"/>
  <c r="O15" i="4"/>
  <c r="P15" i="4"/>
  <c r="O16" i="4"/>
  <c r="P16" i="4"/>
  <c r="O17" i="4"/>
  <c r="P17" i="4"/>
  <c r="O18" i="4"/>
  <c r="P18" i="4"/>
  <c r="O19" i="4"/>
  <c r="P19" i="4"/>
  <c r="O20" i="4"/>
  <c r="P20" i="4"/>
  <c r="O21" i="4"/>
  <c r="P21" i="4"/>
  <c r="O22" i="4"/>
  <c r="P22" i="4"/>
  <c r="O23" i="4"/>
  <c r="P23" i="4"/>
  <c r="O25" i="4"/>
  <c r="P25" i="4"/>
  <c r="O26" i="4"/>
  <c r="P26" i="4"/>
  <c r="O27" i="4"/>
  <c r="P27" i="4"/>
  <c r="O29" i="4"/>
  <c r="P29" i="4"/>
  <c r="O30" i="4"/>
  <c r="P30" i="4"/>
  <c r="O31" i="4"/>
  <c r="P31" i="4"/>
  <c r="O32" i="4"/>
  <c r="P32" i="4"/>
  <c r="O33" i="4"/>
  <c r="P33" i="4"/>
  <c r="O34" i="4"/>
  <c r="P34" i="4"/>
  <c r="O35" i="4"/>
  <c r="P35" i="4"/>
  <c r="O36" i="4"/>
  <c r="P36" i="4"/>
  <c r="O38" i="4"/>
  <c r="P38" i="4"/>
  <c r="O39" i="4"/>
  <c r="P39" i="4"/>
  <c r="O40" i="4"/>
  <c r="P40" i="4"/>
  <c r="O41" i="4"/>
  <c r="P41" i="4"/>
  <c r="O42" i="4"/>
  <c r="P42" i="4"/>
  <c r="O43" i="4"/>
  <c r="P43" i="4"/>
  <c r="I8" i="4"/>
  <c r="M8" i="4" s="1"/>
  <c r="F8" i="4"/>
  <c r="J8" i="4" s="1"/>
  <c r="N8" i="4" s="1"/>
  <c r="U9" i="3"/>
  <c r="V9" i="3"/>
  <c r="W9" i="3"/>
  <c r="X9" i="3"/>
  <c r="Y9" i="3"/>
  <c r="Z9" i="3"/>
  <c r="AA9" i="3"/>
  <c r="AB9" i="3"/>
  <c r="U10" i="3"/>
  <c r="V10" i="3"/>
  <c r="AG10" i="3" s="1"/>
  <c r="AS10" i="3" s="1"/>
  <c r="W10" i="3"/>
  <c r="X10" i="3"/>
  <c r="Y10" i="3"/>
  <c r="Z10" i="3"/>
  <c r="AF10" i="3" s="1"/>
  <c r="AR10" i="3" s="1"/>
  <c r="AA10" i="3"/>
  <c r="AB10" i="3"/>
  <c r="U11" i="3"/>
  <c r="V11" i="3"/>
  <c r="AG11" i="3" s="1"/>
  <c r="AS11" i="3" s="1"/>
  <c r="W11" i="3"/>
  <c r="X11" i="3"/>
  <c r="Y11" i="3"/>
  <c r="Z11" i="3"/>
  <c r="AF11" i="3" s="1"/>
  <c r="AR11" i="3" s="1"/>
  <c r="AA11" i="3"/>
  <c r="AB11" i="3"/>
  <c r="U12" i="3"/>
  <c r="V12" i="3"/>
  <c r="W12" i="3"/>
  <c r="X12" i="3"/>
  <c r="Y12" i="3"/>
  <c r="Z12" i="3"/>
  <c r="AA12" i="3"/>
  <c r="AB12" i="3"/>
  <c r="U13" i="3"/>
  <c r="V13" i="3"/>
  <c r="AG13" i="3" s="1"/>
  <c r="AS13" i="3" s="1"/>
  <c r="W13" i="3"/>
  <c r="X13" i="3"/>
  <c r="Y13" i="3"/>
  <c r="Z13" i="3"/>
  <c r="AF13" i="3" s="1"/>
  <c r="AR13" i="3" s="1"/>
  <c r="AA13" i="3"/>
  <c r="AB13" i="3"/>
  <c r="U14" i="3"/>
  <c r="V14" i="3"/>
  <c r="W14" i="3"/>
  <c r="X14" i="3"/>
  <c r="Y14" i="3"/>
  <c r="Z14" i="3"/>
  <c r="AA14" i="3"/>
  <c r="AB14" i="3"/>
  <c r="U15" i="3"/>
  <c r="V15" i="3"/>
  <c r="AG15" i="3" s="1"/>
  <c r="AS15" i="3" s="1"/>
  <c r="W15" i="3"/>
  <c r="X15" i="3"/>
  <c r="Y15" i="3"/>
  <c r="Z15" i="3"/>
  <c r="AF15" i="3" s="1"/>
  <c r="AR15" i="3" s="1"/>
  <c r="AA15" i="3"/>
  <c r="AB15" i="3"/>
  <c r="U16" i="3"/>
  <c r="V16" i="3"/>
  <c r="AG16" i="3" s="1"/>
  <c r="AS16" i="3" s="1"/>
  <c r="W16" i="3"/>
  <c r="X16" i="3"/>
  <c r="Y16" i="3"/>
  <c r="Z16" i="3"/>
  <c r="AF16" i="3" s="1"/>
  <c r="AR16" i="3" s="1"/>
  <c r="AA16" i="3"/>
  <c r="AB16" i="3"/>
  <c r="U17" i="3"/>
  <c r="V17" i="3"/>
  <c r="AG17" i="3" s="1"/>
  <c r="W17" i="3"/>
  <c r="X17" i="3"/>
  <c r="Y17" i="3"/>
  <c r="Z17" i="3"/>
  <c r="AA17" i="3"/>
  <c r="AB17" i="3"/>
  <c r="Z8" i="3"/>
  <c r="AF8" i="3" s="1"/>
  <c r="AR8" i="3" s="1"/>
  <c r="AA8" i="3"/>
  <c r="AB8" i="3"/>
  <c r="Y8" i="3"/>
  <c r="V8" i="3"/>
  <c r="AG8" i="3" s="1"/>
  <c r="AS8" i="3" s="1"/>
  <c r="W8" i="3"/>
  <c r="AJ8" i="3" s="1"/>
  <c r="AV8" i="3" s="1"/>
  <c r="X8" i="3"/>
  <c r="U8" i="3"/>
  <c r="Q9" i="3"/>
  <c r="R9" i="3"/>
  <c r="S9" i="3"/>
  <c r="T9" i="3"/>
  <c r="Q10" i="3"/>
  <c r="R10" i="3"/>
  <c r="S10" i="3"/>
  <c r="T10" i="3"/>
  <c r="Q11" i="3"/>
  <c r="R11" i="3"/>
  <c r="S11" i="3"/>
  <c r="T11" i="3"/>
  <c r="Q12" i="3"/>
  <c r="R12" i="3"/>
  <c r="S12" i="3"/>
  <c r="T12" i="3"/>
  <c r="Q13" i="3"/>
  <c r="R13" i="3"/>
  <c r="S13" i="3"/>
  <c r="T13" i="3"/>
  <c r="Q14" i="3"/>
  <c r="R14" i="3"/>
  <c r="S14" i="3"/>
  <c r="T14" i="3"/>
  <c r="Q15" i="3"/>
  <c r="R15" i="3"/>
  <c r="S15" i="3"/>
  <c r="T15" i="3"/>
  <c r="Q16" i="3"/>
  <c r="R16" i="3"/>
  <c r="S16" i="3"/>
  <c r="T16" i="3"/>
  <c r="Q17" i="3"/>
  <c r="R17" i="3"/>
  <c r="S17" i="3"/>
  <c r="T17" i="3"/>
  <c r="R8" i="3"/>
  <c r="S8" i="3"/>
  <c r="T8" i="3"/>
  <c r="Q8" i="3"/>
  <c r="Q7" i="3"/>
  <c r="L9" i="3"/>
  <c r="M9" i="3"/>
  <c r="N9" i="3"/>
  <c r="O9" i="3"/>
  <c r="L10" i="3"/>
  <c r="M10" i="3"/>
  <c r="AH10" i="3" s="1"/>
  <c r="AT10" i="3" s="1"/>
  <c r="N10" i="3"/>
  <c r="O10" i="3"/>
  <c r="L11" i="3"/>
  <c r="M11" i="3"/>
  <c r="AH11" i="3" s="1"/>
  <c r="AT11" i="3" s="1"/>
  <c r="N11" i="3"/>
  <c r="O11" i="3"/>
  <c r="L12" i="3"/>
  <c r="M12" i="3"/>
  <c r="N12" i="3"/>
  <c r="O12" i="3"/>
  <c r="L13" i="3"/>
  <c r="M13" i="3"/>
  <c r="AH13" i="3" s="1"/>
  <c r="AT13" i="3" s="1"/>
  <c r="N13" i="3"/>
  <c r="O13" i="3"/>
  <c r="L14" i="3"/>
  <c r="M14" i="3"/>
  <c r="N14" i="3"/>
  <c r="O14" i="3"/>
  <c r="L15" i="3"/>
  <c r="M15" i="3"/>
  <c r="AH15" i="3" s="1"/>
  <c r="AT15" i="3" s="1"/>
  <c r="N15" i="3"/>
  <c r="O15" i="3"/>
  <c r="L16" i="3"/>
  <c r="M16" i="3"/>
  <c r="AH16" i="3" s="1"/>
  <c r="AT16" i="3" s="1"/>
  <c r="N16" i="3"/>
  <c r="O16" i="3"/>
  <c r="L17" i="3"/>
  <c r="M17" i="3"/>
  <c r="AH17" i="3" s="1"/>
  <c r="N17" i="3"/>
  <c r="O17" i="3"/>
  <c r="M8" i="3"/>
  <c r="AH8" i="3" s="1"/>
  <c r="AT8" i="3" s="1"/>
  <c r="N8" i="3"/>
  <c r="O8" i="3"/>
  <c r="L8" i="3"/>
  <c r="H9" i="3"/>
  <c r="I9" i="3"/>
  <c r="J9" i="3"/>
  <c r="K9" i="3"/>
  <c r="H10" i="3"/>
  <c r="I10" i="3"/>
  <c r="AI10" i="3" s="1"/>
  <c r="AU10" i="3" s="1"/>
  <c r="J10" i="3"/>
  <c r="K10" i="3"/>
  <c r="AK10" i="3" s="1"/>
  <c r="AW10" i="3" s="1"/>
  <c r="H11" i="3"/>
  <c r="I11" i="3"/>
  <c r="AI11" i="3" s="1"/>
  <c r="AU11" i="3" s="1"/>
  <c r="J11" i="3"/>
  <c r="K11" i="3"/>
  <c r="AK11" i="3" s="1"/>
  <c r="AW11" i="3" s="1"/>
  <c r="H12" i="3"/>
  <c r="I12" i="3"/>
  <c r="J12" i="3"/>
  <c r="K12" i="3"/>
  <c r="H13" i="3"/>
  <c r="I13" i="3"/>
  <c r="AI13" i="3" s="1"/>
  <c r="AU13" i="3" s="1"/>
  <c r="J13" i="3"/>
  <c r="K13" i="3"/>
  <c r="AK13" i="3" s="1"/>
  <c r="AW13" i="3" s="1"/>
  <c r="H14" i="3"/>
  <c r="I14" i="3"/>
  <c r="J14" i="3"/>
  <c r="K14" i="3"/>
  <c r="H15" i="3"/>
  <c r="I15" i="3"/>
  <c r="AI15" i="3" s="1"/>
  <c r="AU15" i="3" s="1"/>
  <c r="J15" i="3"/>
  <c r="K15" i="3"/>
  <c r="AK15" i="3" s="1"/>
  <c r="AW15" i="3" s="1"/>
  <c r="H16" i="3"/>
  <c r="I16" i="3"/>
  <c r="AI16" i="3" s="1"/>
  <c r="AU16" i="3" s="1"/>
  <c r="J16" i="3"/>
  <c r="K16" i="3"/>
  <c r="AK16" i="3" s="1"/>
  <c r="AW16" i="3" s="1"/>
  <c r="H17" i="3"/>
  <c r="I17" i="3"/>
  <c r="AI17" i="3" s="1"/>
  <c r="J17" i="3"/>
  <c r="K17" i="3"/>
  <c r="AK17" i="3" s="1"/>
  <c r="I8" i="3"/>
  <c r="AI8" i="3" s="1"/>
  <c r="AU8" i="3" s="1"/>
  <c r="J8" i="3"/>
  <c r="K8" i="3"/>
  <c r="AK8" i="3" s="1"/>
  <c r="AW8" i="3" s="1"/>
  <c r="H8" i="3"/>
  <c r="E8" i="3"/>
  <c r="F8" i="3"/>
  <c r="G8" i="3"/>
  <c r="E9" i="3"/>
  <c r="F9" i="3"/>
  <c r="G9" i="3"/>
  <c r="E10" i="3"/>
  <c r="F10" i="3"/>
  <c r="G10" i="3"/>
  <c r="E11" i="3"/>
  <c r="F11" i="3"/>
  <c r="G11" i="3"/>
  <c r="E12" i="3"/>
  <c r="F12" i="3"/>
  <c r="G12" i="3"/>
  <c r="E13" i="3"/>
  <c r="F13" i="3"/>
  <c r="G13" i="3"/>
  <c r="E14" i="3"/>
  <c r="F14" i="3"/>
  <c r="G14" i="3"/>
  <c r="E15" i="3"/>
  <c r="F15" i="3"/>
  <c r="G15" i="3"/>
  <c r="E16" i="3"/>
  <c r="F16" i="3"/>
  <c r="G16" i="3"/>
  <c r="E17" i="3"/>
  <c r="F17" i="3"/>
  <c r="G17" i="3"/>
  <c r="D9" i="3"/>
  <c r="D10" i="3"/>
  <c r="D11" i="3"/>
  <c r="D12" i="3"/>
  <c r="D13" i="3"/>
  <c r="D14" i="3"/>
  <c r="D15" i="3"/>
  <c r="D16" i="3"/>
  <c r="D17" i="3"/>
  <c r="D8" i="3"/>
  <c r="H7" i="3"/>
  <c r="L7" i="3" s="1"/>
  <c r="Y7" i="3" s="1"/>
  <c r="E7" i="3"/>
  <c r="F7" i="3" s="1"/>
  <c r="S7" i="3" s="1"/>
  <c r="B8" i="3"/>
  <c r="B9" i="3"/>
  <c r="B10" i="3"/>
  <c r="B11" i="3"/>
  <c r="B12" i="3"/>
  <c r="B13" i="3"/>
  <c r="B14" i="3"/>
  <c r="B15" i="3"/>
  <c r="B16" i="3"/>
  <c r="B17" i="3"/>
  <c r="B7" i="3"/>
  <c r="E22" i="7"/>
  <c r="F22" i="7"/>
  <c r="G22" i="7"/>
  <c r="H22" i="7"/>
  <c r="I22" i="7"/>
  <c r="J22" i="7"/>
  <c r="U22" i="7" s="1"/>
  <c r="K22" i="7"/>
  <c r="L22" i="7"/>
  <c r="V22" i="7" s="1"/>
  <c r="M22" i="7"/>
  <c r="N22" i="7"/>
  <c r="T22" i="7" s="1"/>
  <c r="O22" i="7"/>
  <c r="P22" i="7"/>
  <c r="E23" i="7"/>
  <c r="F23" i="7"/>
  <c r="G23" i="7"/>
  <c r="H23" i="7"/>
  <c r="I23" i="7"/>
  <c r="J23" i="7"/>
  <c r="U23" i="7" s="1"/>
  <c r="K23" i="7"/>
  <c r="L23" i="7"/>
  <c r="V23" i="7" s="1"/>
  <c r="M23" i="7"/>
  <c r="N23" i="7"/>
  <c r="T23" i="7" s="1"/>
  <c r="O23" i="7"/>
  <c r="P23" i="7"/>
  <c r="E24" i="7"/>
  <c r="F24" i="7"/>
  <c r="G24" i="7"/>
  <c r="H24" i="7"/>
  <c r="I24" i="7"/>
  <c r="J24" i="7"/>
  <c r="U24" i="7" s="1"/>
  <c r="K24" i="7"/>
  <c r="L24" i="7"/>
  <c r="V24" i="7" s="1"/>
  <c r="M24" i="7"/>
  <c r="N24" i="7"/>
  <c r="T24" i="7" s="1"/>
  <c r="O24" i="7"/>
  <c r="P24" i="7"/>
  <c r="E25" i="7"/>
  <c r="F25" i="7"/>
  <c r="G25" i="7"/>
  <c r="H25" i="7"/>
  <c r="I25" i="7"/>
  <c r="J25" i="7"/>
  <c r="U25" i="7" s="1"/>
  <c r="K25" i="7"/>
  <c r="L25" i="7"/>
  <c r="V25" i="7" s="1"/>
  <c r="M25" i="7"/>
  <c r="N25" i="7"/>
  <c r="T25" i="7" s="1"/>
  <c r="O25" i="7"/>
  <c r="P25" i="7"/>
  <c r="E26" i="7"/>
  <c r="F26" i="7"/>
  <c r="G26" i="7"/>
  <c r="H26" i="7"/>
  <c r="I26" i="7"/>
  <c r="J26" i="7"/>
  <c r="K26" i="7"/>
  <c r="L26" i="7"/>
  <c r="M26" i="7"/>
  <c r="N26" i="7"/>
  <c r="O26" i="7"/>
  <c r="P26" i="7"/>
  <c r="P21" i="7"/>
  <c r="O21" i="7"/>
  <c r="N21" i="7"/>
  <c r="T21" i="7" s="1"/>
  <c r="M21" i="7"/>
  <c r="L21" i="7"/>
  <c r="V21" i="7" s="1"/>
  <c r="K21" i="7"/>
  <c r="J21" i="7"/>
  <c r="U21" i="7" s="1"/>
  <c r="I21" i="7"/>
  <c r="H21" i="7"/>
  <c r="G21" i="7"/>
  <c r="F21" i="7"/>
  <c r="E21" i="7"/>
  <c r="E16" i="7"/>
  <c r="F16" i="7"/>
  <c r="G16" i="7"/>
  <c r="H16" i="7"/>
  <c r="I16" i="7"/>
  <c r="J16" i="7"/>
  <c r="U16" i="7" s="1"/>
  <c r="K16" i="7"/>
  <c r="L16" i="7"/>
  <c r="V16" i="7" s="1"/>
  <c r="M16" i="7"/>
  <c r="N16" i="7"/>
  <c r="T16" i="7" s="1"/>
  <c r="O16" i="7"/>
  <c r="P16" i="7"/>
  <c r="E17" i="7"/>
  <c r="F17" i="7"/>
  <c r="G17" i="7"/>
  <c r="H17" i="7"/>
  <c r="I17" i="7"/>
  <c r="J17" i="7"/>
  <c r="U17" i="7" s="1"/>
  <c r="K17" i="7"/>
  <c r="L17" i="7"/>
  <c r="V17" i="7" s="1"/>
  <c r="M17" i="7"/>
  <c r="N17" i="7"/>
  <c r="T17" i="7" s="1"/>
  <c r="O17" i="7"/>
  <c r="P17" i="7"/>
  <c r="E18" i="7"/>
  <c r="F18" i="7"/>
  <c r="G18" i="7"/>
  <c r="H18" i="7"/>
  <c r="I18" i="7"/>
  <c r="J18" i="7"/>
  <c r="K18" i="7"/>
  <c r="L18" i="7"/>
  <c r="M18" i="7"/>
  <c r="N18" i="7"/>
  <c r="O18" i="7"/>
  <c r="P18" i="7"/>
  <c r="P15" i="7"/>
  <c r="O15" i="7"/>
  <c r="N15" i="7"/>
  <c r="T15" i="7" s="1"/>
  <c r="M15" i="7"/>
  <c r="L15" i="7"/>
  <c r="V15" i="7" s="1"/>
  <c r="K15" i="7"/>
  <c r="J15" i="7"/>
  <c r="U15" i="7" s="1"/>
  <c r="I15" i="7"/>
  <c r="H15" i="7"/>
  <c r="G15" i="7"/>
  <c r="F15" i="7"/>
  <c r="E15" i="7"/>
  <c r="E11" i="7"/>
  <c r="F11" i="7"/>
  <c r="G11" i="7"/>
  <c r="H11" i="7"/>
  <c r="I11" i="7"/>
  <c r="J11" i="7"/>
  <c r="U11" i="7" s="1"/>
  <c r="K11" i="7"/>
  <c r="L11" i="7"/>
  <c r="V11" i="7" s="1"/>
  <c r="M11" i="7"/>
  <c r="N11" i="7"/>
  <c r="T11" i="7" s="1"/>
  <c r="O11" i="7"/>
  <c r="P11" i="7"/>
  <c r="E12" i="7"/>
  <c r="F12" i="7"/>
  <c r="G12" i="7"/>
  <c r="H12" i="7"/>
  <c r="I12" i="7"/>
  <c r="J12" i="7"/>
  <c r="U12" i="7" s="1"/>
  <c r="K12" i="7"/>
  <c r="L12" i="7"/>
  <c r="V12" i="7" s="1"/>
  <c r="M12" i="7"/>
  <c r="N12" i="7"/>
  <c r="T12" i="7" s="1"/>
  <c r="O12" i="7"/>
  <c r="P12" i="7"/>
  <c r="N10" i="7"/>
  <c r="T10" i="7" s="1"/>
  <c r="O10" i="7"/>
  <c r="P10" i="7"/>
  <c r="M10" i="7"/>
  <c r="J10" i="7"/>
  <c r="U10" i="7" s="1"/>
  <c r="K10" i="7"/>
  <c r="L10" i="7"/>
  <c r="V10" i="7" s="1"/>
  <c r="I10" i="7"/>
  <c r="F10" i="7"/>
  <c r="G10" i="7"/>
  <c r="H10" i="7"/>
  <c r="E10" i="7"/>
  <c r="I7" i="7"/>
  <c r="M7" i="7" s="1"/>
  <c r="F7" i="7"/>
  <c r="G7" i="7" s="1"/>
  <c r="H7" i="7" s="1"/>
  <c r="L7" i="7" s="1"/>
  <c r="P7" i="7" s="1"/>
  <c r="B7" i="7"/>
  <c r="B8" i="7"/>
  <c r="B9" i="7"/>
  <c r="B10" i="7"/>
  <c r="B11" i="7"/>
  <c r="B12" i="7"/>
  <c r="B13" i="7"/>
  <c r="B14" i="7"/>
  <c r="B15" i="7"/>
  <c r="B16" i="7"/>
  <c r="B17" i="7"/>
  <c r="B18" i="7"/>
  <c r="B19" i="7"/>
  <c r="B20" i="7"/>
  <c r="B21" i="7"/>
  <c r="B22" i="7"/>
  <c r="B23" i="7"/>
  <c r="B24" i="7"/>
  <c r="B25" i="7"/>
  <c r="B26" i="7"/>
  <c r="N9" i="6"/>
  <c r="O9" i="6"/>
  <c r="N10" i="6"/>
  <c r="O10" i="6"/>
  <c r="N11" i="6"/>
  <c r="O11" i="6"/>
  <c r="N12" i="6"/>
  <c r="O12" i="6"/>
  <c r="N13" i="6"/>
  <c r="O13" i="6"/>
  <c r="N14" i="6"/>
  <c r="O14" i="6"/>
  <c r="N15" i="6"/>
  <c r="O15" i="6"/>
  <c r="N16" i="6"/>
  <c r="O16" i="6"/>
  <c r="N17" i="6"/>
  <c r="O17" i="6"/>
  <c r="N18" i="6"/>
  <c r="O18" i="6"/>
  <c r="N19" i="6"/>
  <c r="O19" i="6"/>
  <c r="N20" i="6"/>
  <c r="O20" i="6"/>
  <c r="N21" i="6"/>
  <c r="O21" i="6"/>
  <c r="N22" i="6"/>
  <c r="O22" i="6"/>
  <c r="N23" i="6"/>
  <c r="O23" i="6"/>
  <c r="N24" i="6"/>
  <c r="O24" i="6"/>
  <c r="N25" i="6"/>
  <c r="O25" i="6"/>
  <c r="N26" i="6"/>
  <c r="O26" i="6"/>
  <c r="N27" i="6"/>
  <c r="O27" i="6"/>
  <c r="N28" i="6"/>
  <c r="O28" i="6"/>
  <c r="N29" i="6"/>
  <c r="O29" i="6"/>
  <c r="N30" i="6"/>
  <c r="O30" i="6"/>
  <c r="N31" i="6"/>
  <c r="O31" i="6"/>
  <c r="N32" i="6"/>
  <c r="O32" i="6"/>
  <c r="N33" i="6"/>
  <c r="O33" i="6"/>
  <c r="N34" i="6"/>
  <c r="O34" i="6"/>
  <c r="H8" i="6"/>
  <c r="L8" i="6" s="1"/>
  <c r="E8" i="6"/>
  <c r="I8" i="6" s="1"/>
  <c r="M8" i="6" s="1"/>
  <c r="M8" i="9"/>
  <c r="R8" i="9" s="1"/>
  <c r="N8" i="9"/>
  <c r="O8" i="9"/>
  <c r="M9" i="9"/>
  <c r="R9" i="9" s="1"/>
  <c r="N9" i="9"/>
  <c r="O9" i="9"/>
  <c r="M10" i="9"/>
  <c r="R10" i="9" s="1"/>
  <c r="N10" i="9"/>
  <c r="O10" i="9"/>
  <c r="M11" i="9"/>
  <c r="R11" i="9" s="1"/>
  <c r="N11" i="9"/>
  <c r="O11" i="9"/>
  <c r="M12" i="9"/>
  <c r="R12" i="9" s="1"/>
  <c r="N12" i="9"/>
  <c r="O12" i="9"/>
  <c r="L9" i="9"/>
  <c r="L10" i="9"/>
  <c r="L11" i="9"/>
  <c r="L12" i="9"/>
  <c r="L8" i="9"/>
  <c r="I8" i="9"/>
  <c r="S8" i="9" s="1"/>
  <c r="J8" i="9"/>
  <c r="K8" i="9"/>
  <c r="T8" i="9" s="1"/>
  <c r="I9" i="9"/>
  <c r="S9" i="9" s="1"/>
  <c r="J9" i="9"/>
  <c r="K9" i="9"/>
  <c r="T9" i="9" s="1"/>
  <c r="I10" i="9"/>
  <c r="S10" i="9" s="1"/>
  <c r="J10" i="9"/>
  <c r="K10" i="9"/>
  <c r="T10" i="9" s="1"/>
  <c r="I11" i="9"/>
  <c r="S11" i="9" s="1"/>
  <c r="J11" i="9"/>
  <c r="K11" i="9"/>
  <c r="T11" i="9" s="1"/>
  <c r="I12" i="9"/>
  <c r="S12" i="9" s="1"/>
  <c r="J12" i="9"/>
  <c r="K12" i="9"/>
  <c r="T12" i="9" s="1"/>
  <c r="H9" i="9"/>
  <c r="H10" i="9"/>
  <c r="H11" i="9"/>
  <c r="H12" i="9"/>
  <c r="H8" i="9"/>
  <c r="H7" i="9"/>
  <c r="L7" i="9" s="1"/>
  <c r="E8" i="9"/>
  <c r="F8" i="9"/>
  <c r="G8" i="9"/>
  <c r="E9" i="9"/>
  <c r="F9" i="9"/>
  <c r="G9" i="9"/>
  <c r="E10" i="9"/>
  <c r="F10" i="9"/>
  <c r="G10" i="9"/>
  <c r="E11" i="9"/>
  <c r="F11" i="9"/>
  <c r="G11" i="9"/>
  <c r="E12" i="9"/>
  <c r="F12" i="9"/>
  <c r="G12" i="9"/>
  <c r="D9" i="9"/>
  <c r="D10" i="9"/>
  <c r="D11" i="9"/>
  <c r="D12" i="9"/>
  <c r="D8" i="9"/>
  <c r="E7" i="9"/>
  <c r="I7" i="9" s="1"/>
  <c r="M7" i="9" s="1"/>
  <c r="B8" i="9"/>
  <c r="B9" i="9"/>
  <c r="B10" i="9"/>
  <c r="B11" i="9"/>
  <c r="B12" i="9"/>
  <c r="B7" i="9"/>
  <c r="N10" i="10"/>
  <c r="N9" i="10"/>
  <c r="N13" i="10"/>
  <c r="N22" i="10"/>
  <c r="N23" i="10"/>
  <c r="N24" i="10"/>
  <c r="M10" i="10"/>
  <c r="M9" i="10"/>
  <c r="M13" i="10"/>
  <c r="M22" i="10"/>
  <c r="M23" i="10"/>
  <c r="M24" i="10"/>
  <c r="G7" i="10"/>
  <c r="K7" i="10" s="1"/>
  <c r="D7" i="10"/>
  <c r="H7" i="10" s="1"/>
  <c r="L7" i="10" s="1"/>
  <c r="O8" i="14"/>
  <c r="O9" i="14"/>
  <c r="O10" i="14"/>
  <c r="O11" i="14"/>
  <c r="O12" i="14"/>
  <c r="N8" i="14"/>
  <c r="N9" i="14"/>
  <c r="N10" i="14"/>
  <c r="N11" i="14"/>
  <c r="N12" i="14"/>
  <c r="H7" i="14"/>
  <c r="L7" i="14" s="1"/>
  <c r="Y7" i="14" s="1"/>
  <c r="E7" i="14"/>
  <c r="R7" i="14" s="1"/>
  <c r="L8" i="8"/>
  <c r="M8" i="8"/>
  <c r="N8" i="8"/>
  <c r="L9" i="8"/>
  <c r="M9" i="8"/>
  <c r="N9" i="8"/>
  <c r="L10" i="8"/>
  <c r="M10" i="8"/>
  <c r="N10" i="8"/>
  <c r="L11" i="8"/>
  <c r="M11" i="8"/>
  <c r="N11" i="8"/>
  <c r="L12" i="8"/>
  <c r="M12" i="8"/>
  <c r="N12" i="8"/>
  <c r="L13" i="8"/>
  <c r="M13" i="8"/>
  <c r="N13" i="8"/>
  <c r="K9" i="8"/>
  <c r="X9" i="8" s="1"/>
  <c r="K10" i="8"/>
  <c r="X10" i="8" s="1"/>
  <c r="K11" i="8"/>
  <c r="X11" i="8" s="1"/>
  <c r="K12" i="8"/>
  <c r="K13" i="8"/>
  <c r="K8" i="8"/>
  <c r="P7" i="8"/>
  <c r="G7" i="8"/>
  <c r="K7" i="8" s="1"/>
  <c r="X7" i="8" s="1"/>
  <c r="D7" i="8"/>
  <c r="H7" i="8" s="1"/>
  <c r="L7" i="8" s="1"/>
  <c r="Y7" i="8" s="1"/>
  <c r="Q8" i="18"/>
  <c r="H8" i="18"/>
  <c r="U8" i="18" s="1"/>
  <c r="E8" i="18"/>
  <c r="R8" i="18" s="1"/>
  <c r="M9" i="18"/>
  <c r="N9" i="18"/>
  <c r="O9" i="18"/>
  <c r="M10" i="18"/>
  <c r="N10" i="18"/>
  <c r="O10" i="18"/>
  <c r="M11" i="18"/>
  <c r="N11" i="18"/>
  <c r="O11" i="18"/>
  <c r="M12" i="18"/>
  <c r="N12" i="18"/>
  <c r="O12" i="18"/>
  <c r="L10" i="18"/>
  <c r="Y10" i="18" s="1"/>
  <c r="L11" i="18"/>
  <c r="L12" i="18"/>
  <c r="Y12" i="18" s="1"/>
  <c r="L9" i="18"/>
  <c r="I9" i="18"/>
  <c r="J9" i="18"/>
  <c r="K9" i="18"/>
  <c r="I10" i="18"/>
  <c r="J10" i="18"/>
  <c r="K10" i="18"/>
  <c r="I11" i="18"/>
  <c r="J11" i="18"/>
  <c r="K11" i="18"/>
  <c r="I12" i="18"/>
  <c r="J12" i="18"/>
  <c r="K12" i="18"/>
  <c r="H10" i="18"/>
  <c r="U10" i="18" s="1"/>
  <c r="H11" i="18"/>
  <c r="H12" i="18"/>
  <c r="U12" i="18" s="1"/>
  <c r="H9" i="18"/>
  <c r="E9" i="18"/>
  <c r="F9" i="18"/>
  <c r="G9" i="18"/>
  <c r="E10" i="18"/>
  <c r="F10" i="18"/>
  <c r="G10" i="18"/>
  <c r="E11" i="18"/>
  <c r="F11" i="18"/>
  <c r="G11" i="18"/>
  <c r="E12" i="18"/>
  <c r="F12" i="18"/>
  <c r="G12" i="18"/>
  <c r="D11" i="18"/>
  <c r="Q11" i="18" s="1"/>
  <c r="D12" i="18"/>
  <c r="D10" i="18"/>
  <c r="Q10" i="18" s="1"/>
  <c r="D9" i="18"/>
  <c r="Q9" i="18" s="1"/>
  <c r="O19" i="45" l="1"/>
  <c r="M19" i="45"/>
  <c r="N19" i="45"/>
  <c r="AM43" i="4"/>
  <c r="AQ43" i="4"/>
  <c r="HJ377" i="26"/>
  <c r="HK377" i="26"/>
  <c r="N14" i="14"/>
  <c r="X12" i="8"/>
  <c r="K15" i="8"/>
  <c r="O14" i="14"/>
  <c r="M15" i="8"/>
  <c r="L15" i="8"/>
  <c r="N15" i="8"/>
  <c r="O14" i="18"/>
  <c r="M14" i="18"/>
  <c r="N14" i="18"/>
  <c r="J14" i="18"/>
  <c r="O37" i="6"/>
  <c r="F30" i="7"/>
  <c r="F31" i="7"/>
  <c r="F29" i="7"/>
  <c r="K14" i="18"/>
  <c r="I14" i="18"/>
  <c r="N37" i="6"/>
  <c r="E30" i="7"/>
  <c r="E31" i="7"/>
  <c r="E29" i="7"/>
  <c r="AQ39" i="4"/>
  <c r="Y9" i="18"/>
  <c r="L14" i="18"/>
  <c r="P30" i="7"/>
  <c r="P29" i="7"/>
  <c r="P31" i="7"/>
  <c r="T26" i="7"/>
  <c r="N31" i="7"/>
  <c r="N29" i="7"/>
  <c r="O36" i="6"/>
  <c r="V18" i="7"/>
  <c r="V30" i="7" s="1"/>
  <c r="L30" i="7"/>
  <c r="V26" i="7"/>
  <c r="L29" i="7"/>
  <c r="L31" i="7"/>
  <c r="G14" i="18"/>
  <c r="N36" i="6"/>
  <c r="K30" i="7"/>
  <c r="K31" i="7"/>
  <c r="K29" i="7"/>
  <c r="O30" i="7"/>
  <c r="O31" i="7"/>
  <c r="O29" i="7"/>
  <c r="M30" i="7"/>
  <c r="M31" i="7"/>
  <c r="M29" i="7"/>
  <c r="Q12" i="18"/>
  <c r="Q14" i="18" s="1"/>
  <c r="D14" i="18"/>
  <c r="F14" i="18"/>
  <c r="U18" i="7"/>
  <c r="U30" i="7" s="1"/>
  <c r="J30" i="7"/>
  <c r="U26" i="7"/>
  <c r="J29" i="7"/>
  <c r="J31" i="7"/>
  <c r="T18" i="7"/>
  <c r="T30" i="7" s="1"/>
  <c r="N30" i="7"/>
  <c r="E14" i="18"/>
  <c r="I30" i="7"/>
  <c r="I31" i="7"/>
  <c r="I29" i="7"/>
  <c r="U9" i="18"/>
  <c r="H14" i="18"/>
  <c r="H30" i="7"/>
  <c r="H31" i="7"/>
  <c r="H29" i="7"/>
  <c r="G30" i="7"/>
  <c r="G31" i="7"/>
  <c r="G29" i="7"/>
  <c r="AT17" i="3"/>
  <c r="AW17" i="3"/>
  <c r="AU17" i="3"/>
  <c r="AS17" i="3"/>
  <c r="AB20" i="6"/>
  <c r="AA10" i="18"/>
  <c r="AB23" i="6"/>
  <c r="AB11" i="6"/>
  <c r="HN14" i="26"/>
  <c r="HM14" i="26"/>
  <c r="IE14" i="26" s="1"/>
  <c r="HO14" i="26"/>
  <c r="HL14" i="26"/>
  <c r="W11" i="18"/>
  <c r="R10" i="18"/>
  <c r="AA10" i="8"/>
  <c r="W9" i="18"/>
  <c r="AB10" i="18"/>
  <c r="AJ15" i="3"/>
  <c r="AV15" i="3" s="1"/>
  <c r="AQ42" i="4"/>
  <c r="AQ36" i="4"/>
  <c r="AQ35" i="4"/>
  <c r="AQ34" i="4"/>
  <c r="AQ33" i="4"/>
  <c r="AQ32" i="4"/>
  <c r="AQ31" i="4"/>
  <c r="AQ30" i="4"/>
  <c r="AQ29" i="4"/>
  <c r="AQ27" i="4"/>
  <c r="AQ26" i="4"/>
  <c r="AQ25" i="4"/>
  <c r="AQ23" i="4"/>
  <c r="AQ22" i="4"/>
  <c r="AQ21" i="4"/>
  <c r="AQ20" i="4"/>
  <c r="AQ18" i="4"/>
  <c r="AQ17" i="4"/>
  <c r="AQ16" i="4"/>
  <c r="AQ15" i="4"/>
  <c r="AQ14" i="4"/>
  <c r="AQ13" i="4"/>
  <c r="AQ12" i="4"/>
  <c r="AQ11" i="4"/>
  <c r="AB33" i="6"/>
  <c r="AB27" i="6"/>
  <c r="AB21" i="6"/>
  <c r="AB15" i="6"/>
  <c r="AB9" i="6"/>
  <c r="AN23" i="4"/>
  <c r="AB14" i="6"/>
  <c r="AJ16" i="3"/>
  <c r="AV16" i="3" s="1"/>
  <c r="AJ13" i="3"/>
  <c r="AV13" i="3" s="1"/>
  <c r="AJ10" i="3"/>
  <c r="AV10" i="3" s="1"/>
  <c r="AB31" i="6"/>
  <c r="AB25" i="6"/>
  <c r="AB19" i="6"/>
  <c r="AB13" i="6"/>
  <c r="AF17" i="3"/>
  <c r="AJ20" i="3"/>
  <c r="AJ11" i="3"/>
  <c r="AM23" i="4"/>
  <c r="AB32" i="6"/>
  <c r="Z11" i="8"/>
  <c r="AB29" i="6"/>
  <c r="AB34" i="6"/>
  <c r="AB28" i="6"/>
  <c r="AB22" i="6"/>
  <c r="AB16" i="6"/>
  <c r="AB10" i="6"/>
  <c r="Y10" i="8"/>
  <c r="AB9" i="14"/>
  <c r="AB17" i="6"/>
  <c r="AA13" i="8"/>
  <c r="AA9" i="8"/>
  <c r="AB26" i="6"/>
  <c r="AB11" i="14"/>
  <c r="Y13" i="8"/>
  <c r="AD13" i="8" s="1"/>
  <c r="AL13" i="8" s="1"/>
  <c r="AB30" i="6"/>
  <c r="AB24" i="6"/>
  <c r="AB18" i="6"/>
  <c r="AB12" i="6"/>
  <c r="X11" i="18"/>
  <c r="Z10" i="8"/>
  <c r="Z9" i="8"/>
  <c r="V10" i="18"/>
  <c r="AF10" i="18" s="1"/>
  <c r="AN10" i="18" s="1"/>
  <c r="Y11" i="8"/>
  <c r="AA11" i="18"/>
  <c r="Z10" i="18"/>
  <c r="AE10" i="18" s="1"/>
  <c r="AM10" i="18" s="1"/>
  <c r="Z13" i="8"/>
  <c r="AB12" i="14"/>
  <c r="T10" i="18"/>
  <c r="AA9" i="18"/>
  <c r="AB10" i="14"/>
  <c r="Y9" i="8"/>
  <c r="AB8" i="14"/>
  <c r="AA11" i="8"/>
  <c r="L7" i="22"/>
  <c r="U7" i="22"/>
  <c r="U20" i="22" s="1"/>
  <c r="K20" i="22"/>
  <c r="X7" i="22"/>
  <c r="X20" i="22" s="1"/>
  <c r="H20" i="22"/>
  <c r="M7" i="22"/>
  <c r="I20" i="22"/>
  <c r="J7" i="22"/>
  <c r="W7" i="22" s="1"/>
  <c r="W20" i="22" s="1"/>
  <c r="F20" i="22"/>
  <c r="G8" i="4"/>
  <c r="U7" i="3"/>
  <c r="R7" i="3"/>
  <c r="I7" i="3"/>
  <c r="G7" i="3"/>
  <c r="J7" i="3"/>
  <c r="K7" i="7"/>
  <c r="O7" i="7" s="1"/>
  <c r="J7" i="7"/>
  <c r="N7" i="7" s="1"/>
  <c r="F8" i="6"/>
  <c r="F7" i="9"/>
  <c r="E7" i="10"/>
  <c r="U7" i="14"/>
  <c r="F7" i="14"/>
  <c r="I7" i="14"/>
  <c r="V7" i="14" s="1"/>
  <c r="F8" i="18"/>
  <c r="L8" i="18"/>
  <c r="Y8" i="18" s="1"/>
  <c r="V12" i="18"/>
  <c r="Z9" i="18"/>
  <c r="AE9" i="18" s="1"/>
  <c r="I8" i="18"/>
  <c r="X10" i="18"/>
  <c r="Z12" i="18"/>
  <c r="W10" i="18"/>
  <c r="AB11" i="18"/>
  <c r="U7" i="8"/>
  <c r="Y12" i="8"/>
  <c r="Q7" i="8"/>
  <c r="X13" i="8"/>
  <c r="Z12" i="8"/>
  <c r="AA8" i="8"/>
  <c r="T7" i="8"/>
  <c r="AA12" i="8"/>
  <c r="E7" i="8"/>
  <c r="R7" i="8" s="1"/>
  <c r="V11" i="18"/>
  <c r="AF11" i="18" s="1"/>
  <c r="AN11" i="18" s="1"/>
  <c r="T9" i="18"/>
  <c r="X9" i="18"/>
  <c r="AB9" i="18"/>
  <c r="Z11" i="18"/>
  <c r="AE11" i="18" s="1"/>
  <c r="AM11" i="18" s="1"/>
  <c r="V9" i="18"/>
  <c r="AF9" i="18" s="1"/>
  <c r="X12" i="18"/>
  <c r="AB12" i="18"/>
  <c r="S12" i="18"/>
  <c r="W12" i="18"/>
  <c r="AA12" i="18"/>
  <c r="U11" i="18"/>
  <c r="Y11" i="18"/>
  <c r="T12" i="18"/>
  <c r="R12" i="18"/>
  <c r="S10" i="18"/>
  <c r="S9" i="18"/>
  <c r="S11" i="18"/>
  <c r="R9" i="18"/>
  <c r="T11" i="18"/>
  <c r="R11" i="18"/>
  <c r="AD9" i="8" l="1"/>
  <c r="AL9" i="8" s="1"/>
  <c r="AD10" i="8"/>
  <c r="AL10" i="8" s="1"/>
  <c r="W14" i="18"/>
  <c r="AD11" i="8"/>
  <c r="AL11" i="8" s="1"/>
  <c r="AB14" i="18"/>
  <c r="X14" i="18"/>
  <c r="Y14" i="18"/>
  <c r="AQ40" i="4"/>
  <c r="AQ48" i="4" s="1"/>
  <c r="AD12" i="8"/>
  <c r="AB14" i="14"/>
  <c r="U14" i="18"/>
  <c r="AA15" i="8"/>
  <c r="V14" i="18"/>
  <c r="S14" i="18"/>
  <c r="T31" i="7"/>
  <c r="T29" i="7"/>
  <c r="R14" i="18"/>
  <c r="U29" i="7"/>
  <c r="U31" i="7"/>
  <c r="AE12" i="18"/>
  <c r="AM12" i="18" s="1"/>
  <c r="Z14" i="18"/>
  <c r="AB37" i="6"/>
  <c r="AB36" i="6"/>
  <c r="T14" i="18"/>
  <c r="V31" i="7"/>
  <c r="V29" i="7"/>
  <c r="AA14" i="18"/>
  <c r="AR17" i="3"/>
  <c r="AF12" i="18"/>
  <c r="AI10" i="18"/>
  <c r="AQ10" i="18" s="1"/>
  <c r="AJ10" i="18"/>
  <c r="AR10" i="18" s="1"/>
  <c r="AG10" i="18"/>
  <c r="AO10" i="18" s="1"/>
  <c r="AF9" i="8"/>
  <c r="AN9" i="8" s="1"/>
  <c r="AF13" i="8"/>
  <c r="AN13" i="8" s="1"/>
  <c r="AJ17" i="3"/>
  <c r="AV11" i="3"/>
  <c r="AF11" i="8"/>
  <c r="AN11" i="8" s="1"/>
  <c r="AG12" i="18"/>
  <c r="AG23" i="18" s="1"/>
  <c r="AH10" i="18"/>
  <c r="AP10" i="18" s="1"/>
  <c r="AF10" i="8"/>
  <c r="AN10" i="8" s="1"/>
  <c r="AI9" i="18"/>
  <c r="AG9" i="18"/>
  <c r="M20" i="22"/>
  <c r="Z7" i="22"/>
  <c r="Z20" i="22" s="1"/>
  <c r="L20" i="22"/>
  <c r="Y7" i="22"/>
  <c r="Y20" i="22" s="1"/>
  <c r="N7" i="22"/>
  <c r="J20" i="22"/>
  <c r="H8" i="4"/>
  <c r="L8" i="4" s="1"/>
  <c r="P8" i="4" s="1"/>
  <c r="K8" i="4"/>
  <c r="O8" i="4" s="1"/>
  <c r="M7" i="3"/>
  <c r="Z7" i="3" s="1"/>
  <c r="V7" i="3"/>
  <c r="N7" i="3"/>
  <c r="AA7" i="3" s="1"/>
  <c r="W7" i="3"/>
  <c r="K7" i="3"/>
  <c r="T7" i="3"/>
  <c r="G8" i="6"/>
  <c r="K8" i="6" s="1"/>
  <c r="O8" i="6" s="1"/>
  <c r="J8" i="6"/>
  <c r="N8" i="6" s="1"/>
  <c r="G7" i="9"/>
  <c r="K7" i="9" s="1"/>
  <c r="O7" i="9" s="1"/>
  <c r="J7" i="9"/>
  <c r="N7" i="9" s="1"/>
  <c r="I7" i="10"/>
  <c r="M7" i="10" s="1"/>
  <c r="F7" i="10"/>
  <c r="J7" i="10" s="1"/>
  <c r="N7" i="10" s="1"/>
  <c r="J7" i="14"/>
  <c r="W7" i="14" s="1"/>
  <c r="S7" i="14"/>
  <c r="G7" i="14"/>
  <c r="M7" i="14"/>
  <c r="Z7" i="14" s="1"/>
  <c r="AJ12" i="18"/>
  <c r="AJ23" i="18" s="1"/>
  <c r="G8" i="18"/>
  <c r="S8" i="18"/>
  <c r="J8" i="18"/>
  <c r="AJ9" i="18"/>
  <c r="AI11" i="18"/>
  <c r="AQ11" i="18" s="1"/>
  <c r="AH11" i="18"/>
  <c r="AP11" i="18" s="1"/>
  <c r="AJ11" i="18"/>
  <c r="AR11" i="18" s="1"/>
  <c r="M8" i="18"/>
  <c r="Z8" i="18" s="1"/>
  <c r="V8" i="18"/>
  <c r="AH12" i="18"/>
  <c r="AH23" i="18" s="1"/>
  <c r="AG11" i="18"/>
  <c r="AO11" i="18" s="1"/>
  <c r="AI12" i="18"/>
  <c r="AH9" i="18"/>
  <c r="AF12" i="8"/>
  <c r="F7" i="8"/>
  <c r="I7" i="8"/>
  <c r="N20" i="22" l="1"/>
  <c r="AA7" i="22"/>
  <c r="AA20" i="22" s="1"/>
  <c r="AN12" i="8"/>
  <c r="AL12" i="8"/>
  <c r="AQ12" i="18"/>
  <c r="AI14" i="18"/>
  <c r="AR12" i="18"/>
  <c r="AJ14" i="18"/>
  <c r="AP12" i="18"/>
  <c r="AH14" i="18"/>
  <c r="AO12" i="18"/>
  <c r="AG14" i="18"/>
  <c r="AN12" i="18"/>
  <c r="AF14" i="18"/>
  <c r="AE14" i="18"/>
  <c r="AV17" i="3"/>
  <c r="AJ19" i="3"/>
  <c r="AJ23" i="3" s="1"/>
  <c r="O7" i="3"/>
  <c r="AB7" i="3" s="1"/>
  <c r="X7" i="3"/>
  <c r="N7" i="14"/>
  <c r="AA7" i="14" s="1"/>
  <c r="K7" i="14"/>
  <c r="T7" i="14"/>
  <c r="N8" i="18"/>
  <c r="AA8" i="18" s="1"/>
  <c r="W8" i="18"/>
  <c r="T8" i="18"/>
  <c r="K8" i="18"/>
  <c r="M7" i="8"/>
  <c r="Z7" i="8" s="1"/>
  <c r="V7" i="8"/>
  <c r="J7" i="8"/>
  <c r="S7" i="8"/>
  <c r="X7" i="14" l="1"/>
  <c r="O7" i="14"/>
  <c r="AB7" i="14" s="1"/>
  <c r="X8" i="18"/>
  <c r="O8" i="18"/>
  <c r="AB8" i="18" s="1"/>
  <c r="N7" i="8"/>
  <c r="AA7" i="8" s="1"/>
  <c r="W7" i="8"/>
  <c r="CI57" i="27" l="1"/>
  <c r="P51" i="27"/>
  <c r="L51" i="27"/>
  <c r="H51" i="27"/>
  <c r="H12" i="27"/>
  <c r="HF106" i="26"/>
  <c r="P87" i="26"/>
  <c r="P89" i="26" s="1"/>
  <c r="AL88" i="27" l="1"/>
  <c r="AM88" i="27"/>
  <c r="AN88" i="27"/>
  <c r="AO88" i="27"/>
  <c r="AP88" i="27"/>
  <c r="AQ88" i="27"/>
  <c r="AR88" i="27"/>
  <c r="AS88" i="27"/>
  <c r="AL89" i="27"/>
  <c r="AM89" i="27"/>
  <c r="AN89" i="27"/>
  <c r="AO89" i="27"/>
  <c r="AP89" i="27"/>
  <c r="AQ89" i="27"/>
  <c r="AR89" i="27"/>
  <c r="AS89" i="27"/>
  <c r="AS107" i="27" s="1"/>
  <c r="AT89" i="27"/>
  <c r="AT107" i="27" s="1"/>
  <c r="AL90" i="27"/>
  <c r="AM90" i="27"/>
  <c r="AN90" i="27"/>
  <c r="AO90" i="27"/>
  <c r="AP90" i="27"/>
  <c r="AQ90" i="27"/>
  <c r="AR90" i="27"/>
  <c r="AS90" i="27"/>
  <c r="AT90" i="27"/>
  <c r="K6" i="38"/>
  <c r="AK90" i="27"/>
  <c r="AK89" i="27"/>
  <c r="AK88" i="27"/>
  <c r="I4" i="38"/>
  <c r="K4" i="38" s="1"/>
  <c r="I5" i="38"/>
  <c r="K5" i="38" s="1"/>
  <c r="I3" i="38"/>
  <c r="K3" i="38" s="1"/>
  <c r="I7" i="38" l="1"/>
  <c r="K7" i="38" s="1"/>
  <c r="P15" i="27" l="1"/>
  <c r="S21" i="10"/>
  <c r="S19" i="10"/>
  <c r="S18" i="10"/>
  <c r="S17" i="10"/>
  <c r="S16" i="10"/>
  <c r="S12" i="10"/>
  <c r="R21" i="10"/>
  <c r="R19" i="10"/>
  <c r="R18" i="10"/>
  <c r="R17" i="10"/>
  <c r="R16" i="10"/>
  <c r="R12" i="10"/>
  <c r="R9" i="10"/>
  <c r="L24" i="10"/>
  <c r="Q24" i="10" s="1"/>
  <c r="K24" i="10"/>
  <c r="J24" i="10"/>
  <c r="S24" i="10" s="1"/>
  <c r="X24" i="10" s="1"/>
  <c r="I24" i="10"/>
  <c r="H24" i="10"/>
  <c r="R24" i="10" s="1"/>
  <c r="G24" i="10"/>
  <c r="F24" i="10"/>
  <c r="E24" i="10"/>
  <c r="D24" i="10"/>
  <c r="C24" i="10"/>
  <c r="L23" i="10"/>
  <c r="Q23" i="10" s="1"/>
  <c r="K23" i="10"/>
  <c r="J23" i="10"/>
  <c r="S23" i="10" s="1"/>
  <c r="X23" i="10" s="1"/>
  <c r="I23" i="10"/>
  <c r="H23" i="10"/>
  <c r="R23" i="10" s="1"/>
  <c r="G23" i="10"/>
  <c r="F23" i="10"/>
  <c r="E23" i="10"/>
  <c r="D23" i="10"/>
  <c r="C23" i="10"/>
  <c r="L22" i="10"/>
  <c r="Q22" i="10" s="1"/>
  <c r="K22" i="10"/>
  <c r="J22" i="10"/>
  <c r="S22" i="10" s="1"/>
  <c r="X22" i="10" s="1"/>
  <c r="I22" i="10"/>
  <c r="H22" i="10"/>
  <c r="R22" i="10" s="1"/>
  <c r="G22" i="10"/>
  <c r="F22" i="10"/>
  <c r="E22" i="10"/>
  <c r="D22" i="10"/>
  <c r="C22" i="10"/>
  <c r="L13" i="10"/>
  <c r="Q13" i="10" s="1"/>
  <c r="K13" i="10"/>
  <c r="J13" i="10"/>
  <c r="S13" i="10" s="1"/>
  <c r="X13" i="10" s="1"/>
  <c r="I13" i="10"/>
  <c r="H13" i="10"/>
  <c r="R13" i="10" s="1"/>
  <c r="G13" i="10"/>
  <c r="F13" i="10"/>
  <c r="E13" i="10"/>
  <c r="D13" i="10"/>
  <c r="C13" i="10"/>
  <c r="C10" i="10"/>
  <c r="L10" i="10"/>
  <c r="Q10" i="10" s="1"/>
  <c r="V10" i="10" s="1"/>
  <c r="K10" i="10"/>
  <c r="J10" i="10"/>
  <c r="S10" i="10" s="1"/>
  <c r="X10" i="10" s="1"/>
  <c r="I10" i="10"/>
  <c r="H10" i="10"/>
  <c r="R10" i="10" s="1"/>
  <c r="G10" i="10"/>
  <c r="F10" i="10"/>
  <c r="E10" i="10"/>
  <c r="D10" i="10"/>
  <c r="L9" i="10"/>
  <c r="AJ7" i="14"/>
  <c r="AI7" i="14"/>
  <c r="AH7" i="14"/>
  <c r="AG7" i="14"/>
  <c r="AF7" i="14"/>
  <c r="AE7" i="14"/>
  <c r="AF6" i="14"/>
  <c r="AE6" i="14"/>
  <c r="M8" i="14"/>
  <c r="M12" i="14"/>
  <c r="M11" i="14"/>
  <c r="M10" i="14"/>
  <c r="M9" i="14"/>
  <c r="AG7" i="8"/>
  <c r="AF7" i="8"/>
  <c r="Z8" i="8"/>
  <c r="AP9" i="18"/>
  <c r="AP14" i="18" s="1"/>
  <c r="AO9" i="18"/>
  <c r="AO14" i="18" s="1"/>
  <c r="AH8" i="18"/>
  <c r="AG8" i="18"/>
  <c r="AH7" i="18"/>
  <c r="AG7" i="18"/>
  <c r="AC26" i="7"/>
  <c r="AC25" i="7"/>
  <c r="AC24" i="7"/>
  <c r="AC23" i="7"/>
  <c r="AC22" i="7"/>
  <c r="AC21" i="7"/>
  <c r="AC18" i="7"/>
  <c r="AC17" i="7"/>
  <c r="AC16" i="7"/>
  <c r="AC15" i="7"/>
  <c r="AC12" i="7"/>
  <c r="AC11" i="7"/>
  <c r="AC10" i="7"/>
  <c r="V7" i="7"/>
  <c r="AC7" i="7" s="1"/>
  <c r="V6" i="7"/>
  <c r="AC6" i="7" s="1"/>
  <c r="D31" i="6"/>
  <c r="M9" i="6"/>
  <c r="AA9" i="6" s="1"/>
  <c r="M34" i="6"/>
  <c r="AA34" i="6" s="1"/>
  <c r="M33" i="6"/>
  <c r="AA33" i="6" s="1"/>
  <c r="M32" i="6"/>
  <c r="AA32" i="6" s="1"/>
  <c r="M31" i="6"/>
  <c r="M30" i="6"/>
  <c r="AA30" i="6" s="1"/>
  <c r="M29" i="6"/>
  <c r="AA29" i="6" s="1"/>
  <c r="M28" i="6"/>
  <c r="M27" i="6"/>
  <c r="AA27" i="6" s="1"/>
  <c r="M26" i="6"/>
  <c r="AA26" i="6" s="1"/>
  <c r="M25" i="6"/>
  <c r="AA25" i="6" s="1"/>
  <c r="M24" i="6"/>
  <c r="AA24" i="6" s="1"/>
  <c r="M23" i="6"/>
  <c r="AA23" i="6" s="1"/>
  <c r="M22" i="6"/>
  <c r="AA22" i="6" s="1"/>
  <c r="M21" i="6"/>
  <c r="AA21" i="6" s="1"/>
  <c r="M20" i="6"/>
  <c r="AA20" i="6" s="1"/>
  <c r="M19" i="6"/>
  <c r="AA19" i="6" s="1"/>
  <c r="M18" i="6"/>
  <c r="AA18" i="6" s="1"/>
  <c r="M17" i="6"/>
  <c r="AA17" i="6" s="1"/>
  <c r="M16" i="6"/>
  <c r="AA16" i="6" s="1"/>
  <c r="M15" i="6"/>
  <c r="AA15" i="6" s="1"/>
  <c r="M14" i="6"/>
  <c r="AA14" i="6" s="1"/>
  <c r="M13" i="6"/>
  <c r="AA13" i="6" s="1"/>
  <c r="M12" i="6"/>
  <c r="AA12" i="6" s="1"/>
  <c r="M11" i="6"/>
  <c r="AA11" i="6" s="1"/>
  <c r="M10" i="6"/>
  <c r="AA10" i="6" s="1"/>
  <c r="AI8" i="6"/>
  <c r="AH8" i="6"/>
  <c r="AI7" i="6"/>
  <c r="AH7" i="6"/>
  <c r="AW9" i="4"/>
  <c r="BF9" i="4" s="1"/>
  <c r="M42" i="4"/>
  <c r="Z15" i="8" l="1"/>
  <c r="M14" i="14"/>
  <c r="AA31" i="6"/>
  <c r="M36" i="6"/>
  <c r="AC31" i="7"/>
  <c r="AC29" i="7"/>
  <c r="AA28" i="6"/>
  <c r="AA37" i="6" s="1"/>
  <c r="M37" i="6"/>
  <c r="AC30" i="7"/>
  <c r="AA9" i="14"/>
  <c r="AA10" i="14"/>
  <c r="AA11" i="14"/>
  <c r="AA12" i="14"/>
  <c r="AA8" i="14"/>
  <c r="N38" i="4"/>
  <c r="N43" i="4"/>
  <c r="AO43" i="4" s="1"/>
  <c r="N42" i="4"/>
  <c r="AO42" i="4" s="1"/>
  <c r="N41" i="4"/>
  <c r="AO41" i="4" s="1"/>
  <c r="N40" i="4"/>
  <c r="N39" i="4"/>
  <c r="N36" i="4"/>
  <c r="AO36" i="4" s="1"/>
  <c r="N35" i="4"/>
  <c r="AO35" i="4" s="1"/>
  <c r="N34" i="4"/>
  <c r="AO34" i="4" s="1"/>
  <c r="N33" i="4"/>
  <c r="AO33" i="4" s="1"/>
  <c r="N32" i="4"/>
  <c r="AO32" i="4" s="1"/>
  <c r="N31" i="4"/>
  <c r="AO31" i="4" s="1"/>
  <c r="N30" i="4"/>
  <c r="AO30" i="4" s="1"/>
  <c r="N29" i="4"/>
  <c r="AO29" i="4" s="1"/>
  <c r="N27" i="4"/>
  <c r="AO27" i="4" s="1"/>
  <c r="N26" i="4"/>
  <c r="AO26" i="4" s="1"/>
  <c r="N25" i="4"/>
  <c r="AO25" i="4" s="1"/>
  <c r="N23" i="4"/>
  <c r="AO23" i="4" s="1"/>
  <c r="N22" i="4"/>
  <c r="AO22" i="4" s="1"/>
  <c r="N21" i="4"/>
  <c r="AO21" i="4" s="1"/>
  <c r="N20" i="4"/>
  <c r="AO20" i="4" s="1"/>
  <c r="N19" i="4"/>
  <c r="N18" i="4"/>
  <c r="AO18" i="4" s="1"/>
  <c r="N17" i="4"/>
  <c r="AO17" i="4" s="1"/>
  <c r="N16" i="4"/>
  <c r="AO16" i="4" s="1"/>
  <c r="N15" i="4"/>
  <c r="AO15" i="4" s="1"/>
  <c r="N14" i="4"/>
  <c r="AO14" i="4" s="1"/>
  <c r="N13" i="4"/>
  <c r="AO13" i="4" s="1"/>
  <c r="N12" i="4"/>
  <c r="AO12" i="4" s="1"/>
  <c r="N11" i="4"/>
  <c r="AO11" i="4" s="1"/>
  <c r="N10" i="4"/>
  <c r="AA14" i="14" l="1"/>
  <c r="AA36" i="6"/>
  <c r="AO39" i="4"/>
  <c r="BR39" i="4" s="1"/>
  <c r="AO40" i="4"/>
  <c r="AO48" i="4" s="1"/>
  <c r="AO38" i="4"/>
  <c r="BR38" i="4" s="1"/>
  <c r="HM11" i="26"/>
  <c r="HL11" i="26"/>
  <c r="HF15" i="26"/>
  <c r="HJ15" i="26" s="1"/>
  <c r="HL303" i="26" l="1"/>
  <c r="HL325" i="26"/>
  <c r="HL354" i="26"/>
  <c r="HM303" i="26"/>
  <c r="HM354" i="26"/>
  <c r="HM325" i="26"/>
  <c r="HL277" i="26"/>
  <c r="HL285" i="26"/>
  <c r="HM277" i="26"/>
  <c r="HM285" i="26"/>
  <c r="HL258" i="26"/>
  <c r="HL265" i="26"/>
  <c r="HM258" i="26"/>
  <c r="HM265" i="26"/>
  <c r="HL215" i="26"/>
  <c r="HL247" i="26"/>
  <c r="HM215" i="26"/>
  <c r="HM247" i="26"/>
  <c r="HL184" i="26"/>
  <c r="HL192" i="26"/>
  <c r="HM184" i="26"/>
  <c r="HM192" i="26"/>
  <c r="HL165" i="26"/>
  <c r="HL172" i="26"/>
  <c r="HM165" i="26"/>
  <c r="HM172" i="26"/>
  <c r="HL122" i="26"/>
  <c r="HL154" i="26"/>
  <c r="HM122" i="26"/>
  <c r="HM154" i="26"/>
  <c r="HM54" i="26"/>
  <c r="HM87" i="26"/>
  <c r="HM209" i="26"/>
  <c r="HM28" i="26"/>
  <c r="HM93" i="26"/>
  <c r="HM116" i="26"/>
  <c r="HL87" i="26"/>
  <c r="HL209" i="26"/>
  <c r="HL28" i="26"/>
  <c r="HL116" i="26"/>
  <c r="HL93" i="26"/>
  <c r="HL54" i="26"/>
  <c r="BR40" i="4"/>
  <c r="BH34" i="27"/>
  <c r="BH27" i="27"/>
  <c r="AT143" i="27"/>
  <c r="AS108" i="27"/>
  <c r="AS120" i="27" s="1"/>
  <c r="AS126" i="27" s="1"/>
  <c r="AT115" i="27"/>
  <c r="AT108" i="27"/>
  <c r="AT120" i="27" s="1"/>
  <c r="AT126" i="27" s="1"/>
  <c r="AT119" i="27" l="1"/>
  <c r="AT132" i="27"/>
  <c r="AT125" i="27" l="1"/>
  <c r="AT15" i="27"/>
  <c r="BH15" i="27" s="1"/>
  <c r="AT97" i="27"/>
  <c r="AT60" i="27"/>
  <c r="AT9" i="27"/>
  <c r="BH9" i="27" s="1"/>
  <c r="BV9" i="27" s="1"/>
  <c r="AS9" i="27"/>
  <c r="CM15" i="27"/>
  <c r="Q75" i="27"/>
  <c r="Q32" i="27"/>
  <c r="Q19" i="27"/>
  <c r="Q18" i="27"/>
  <c r="AT18" i="27" s="1"/>
  <c r="Q17" i="27"/>
  <c r="AT17" i="27" s="1"/>
  <c r="Q16" i="27"/>
  <c r="AT16" i="27" s="1"/>
  <c r="Q24" i="27"/>
  <c r="Q23" i="27"/>
  <c r="Q22" i="27"/>
  <c r="Q21" i="27"/>
  <c r="Q25" i="27"/>
  <c r="Q28" i="27"/>
  <c r="Q30" i="27"/>
  <c r="Q41" i="27"/>
  <c r="Q40" i="27"/>
  <c r="Q39" i="27"/>
  <c r="Q38" i="27"/>
  <c r="Q37" i="27"/>
  <c r="Q36" i="27"/>
  <c r="Q35" i="27"/>
  <c r="Q13" i="27"/>
  <c r="Q46" i="27" s="1"/>
  <c r="Q12" i="27"/>
  <c r="Q48" i="27" l="1"/>
  <c r="Q49" i="27"/>
  <c r="Q45" i="27"/>
  <c r="Q47" i="27"/>
  <c r="HF67" i="26"/>
  <c r="HJ67" i="26" s="1"/>
  <c r="Q58" i="27"/>
  <c r="AT87" i="27"/>
  <c r="AT105" i="27" s="1"/>
  <c r="HF261" i="26"/>
  <c r="HF66" i="26"/>
  <c r="HF259" i="26"/>
  <c r="AT38" i="27"/>
  <c r="HF95" i="26"/>
  <c r="AT39" i="27"/>
  <c r="HF125" i="26" s="1"/>
  <c r="HF218" i="26"/>
  <c r="AT35" i="27"/>
  <c r="BH35" i="27" s="1"/>
  <c r="HF94" i="26"/>
  <c r="AT23" i="27"/>
  <c r="BH23" i="27" s="1"/>
  <c r="HF96" i="26"/>
  <c r="HF260" i="26"/>
  <c r="HF217" i="26"/>
  <c r="W21" i="27"/>
  <c r="CM21" i="27" s="1"/>
  <c r="AT124" i="27"/>
  <c r="BZ16" i="27"/>
  <c r="BH16" i="27"/>
  <c r="BZ17" i="27"/>
  <c r="BH17" i="27"/>
  <c r="BZ18" i="27"/>
  <c r="BH18" i="27"/>
  <c r="W30" i="27"/>
  <c r="CM30" i="27" s="1"/>
  <c r="W22" i="27"/>
  <c r="CM22" i="27" s="1"/>
  <c r="W12" i="27"/>
  <c r="W36" i="27"/>
  <c r="CM36" i="27" s="1"/>
  <c r="W14" i="27"/>
  <c r="CM14" i="27" s="1"/>
  <c r="W41" i="27"/>
  <c r="W25" i="27"/>
  <c r="BZ15" i="27"/>
  <c r="W35" i="27"/>
  <c r="CM35" i="27" s="1"/>
  <c r="W37" i="27"/>
  <c r="CM37" i="27" s="1"/>
  <c r="W23" i="27"/>
  <c r="W16" i="27"/>
  <c r="CM16" i="27" s="1"/>
  <c r="W17" i="27"/>
  <c r="CM17" i="27" s="1"/>
  <c r="W18" i="27"/>
  <c r="CM18" i="27" s="1"/>
  <c r="W32" i="27"/>
  <c r="AF28" i="3" s="1"/>
  <c r="AT21" i="27"/>
  <c r="W40" i="27"/>
  <c r="CM40" i="27" s="1"/>
  <c r="W28" i="27"/>
  <c r="W24" i="27"/>
  <c r="CM24" i="27" s="1"/>
  <c r="W13" i="27"/>
  <c r="W19" i="27"/>
  <c r="CM19" i="27" s="1"/>
  <c r="W38" i="27"/>
  <c r="CM38" i="27" s="1"/>
  <c r="W39" i="27"/>
  <c r="CM39" i="27" s="1"/>
  <c r="AT22" i="27"/>
  <c r="HJ74" i="26" l="1"/>
  <c r="J100" i="45"/>
  <c r="HL95" i="26"/>
  <c r="HN95" i="26"/>
  <c r="HJ95" i="26"/>
  <c r="HJ96" i="26"/>
  <c r="HL96" i="26"/>
  <c r="HN96" i="26"/>
  <c r="HN94" i="26"/>
  <c r="G40" i="45" s="1"/>
  <c r="HL94" i="26"/>
  <c r="HJ94" i="26"/>
  <c r="AH28" i="3"/>
  <c r="AH29" i="3" s="1"/>
  <c r="AF29" i="3"/>
  <c r="AJ29" i="3"/>
  <c r="CM28" i="27"/>
  <c r="W47" i="27"/>
  <c r="CM25" i="27"/>
  <c r="W48" i="27"/>
  <c r="CM41" i="27"/>
  <c r="W49" i="27"/>
  <c r="W45" i="27"/>
  <c r="CM13" i="27"/>
  <c r="CM46" i="27" s="1"/>
  <c r="W46" i="27"/>
  <c r="AJ21" i="3"/>
  <c r="AJ24" i="3" s="1"/>
  <c r="CM32" i="27"/>
  <c r="AC12" i="27"/>
  <c r="CM12" i="27"/>
  <c r="AM49" i="4"/>
  <c r="CM23" i="27"/>
  <c r="AT13" i="27"/>
  <c r="AT46" i="27" s="1"/>
  <c r="HL67" i="26"/>
  <c r="L100" i="45" s="1"/>
  <c r="HN67" i="26"/>
  <c r="N100" i="45" s="1"/>
  <c r="HF74" i="26"/>
  <c r="HF211" i="26"/>
  <c r="HL259" i="26"/>
  <c r="L67" i="45" s="1"/>
  <c r="HN259" i="26"/>
  <c r="N67" i="45" s="1"/>
  <c r="HJ259" i="26"/>
  <c r="J67" i="45" s="1"/>
  <c r="HF68" i="26"/>
  <c r="HL66" i="26"/>
  <c r="L58" i="45" s="1"/>
  <c r="L120" i="45" s="1"/>
  <c r="HJ66" i="26"/>
  <c r="J58" i="45" s="1"/>
  <c r="J120" i="45" s="1"/>
  <c r="HN66" i="26"/>
  <c r="HL260" i="26"/>
  <c r="L68" i="45" s="1"/>
  <c r="HJ260" i="26"/>
  <c r="J68" i="45" s="1"/>
  <c r="HN260" i="26"/>
  <c r="N68" i="45" s="1"/>
  <c r="HF216" i="26"/>
  <c r="HL261" i="26"/>
  <c r="L69" i="45" s="1"/>
  <c r="HN261" i="26"/>
  <c r="N69" i="45" s="1"/>
  <c r="HJ261" i="26"/>
  <c r="J69" i="45" s="1"/>
  <c r="BZ39" i="27"/>
  <c r="AT40" i="27"/>
  <c r="BH40" i="27" s="1"/>
  <c r="AT91" i="27"/>
  <c r="HF262" i="26"/>
  <c r="HF71" i="26" s="1"/>
  <c r="BH39" i="27"/>
  <c r="BH38" i="27"/>
  <c r="BZ38" i="27"/>
  <c r="HF111" i="26"/>
  <c r="HF20" i="26" s="1"/>
  <c r="BZ23" i="27"/>
  <c r="HF97" i="26"/>
  <c r="BZ35" i="27"/>
  <c r="AT24" i="27"/>
  <c r="BZ22" i="27"/>
  <c r="BH22" i="27"/>
  <c r="BZ21" i="27"/>
  <c r="BH21" i="27"/>
  <c r="BZ14" i="27"/>
  <c r="HF219" i="26" l="1"/>
  <c r="L70" i="45"/>
  <c r="L122" i="45" s="1"/>
  <c r="E40" i="45"/>
  <c r="E45" i="45" s="1"/>
  <c r="E51" i="45" s="1"/>
  <c r="N70" i="45"/>
  <c r="N122" i="45" s="1"/>
  <c r="G45" i="45"/>
  <c r="G51" i="45" s="1"/>
  <c r="N40" i="45"/>
  <c r="N45" i="45" s="1"/>
  <c r="FB44" i="26"/>
  <c r="GA29" i="26" s="1"/>
  <c r="GQ29" i="26" s="1"/>
  <c r="N58" i="45"/>
  <c r="N120" i="45" s="1"/>
  <c r="J70" i="45"/>
  <c r="J122" i="45" s="1"/>
  <c r="C40" i="45"/>
  <c r="J40" i="45" s="1"/>
  <c r="J45" i="45" s="1"/>
  <c r="HJ97" i="26"/>
  <c r="HL97" i="26"/>
  <c r="HN97" i="26"/>
  <c r="G35" i="45"/>
  <c r="N35" i="45" s="1"/>
  <c r="E35" i="45"/>
  <c r="L35" i="45" s="1"/>
  <c r="C35" i="45"/>
  <c r="J35" i="45" s="1"/>
  <c r="HL74" i="26"/>
  <c r="EZ42" i="26"/>
  <c r="ID66" i="26"/>
  <c r="EZ44" i="26"/>
  <c r="HN74" i="26"/>
  <c r="FB43" i="26" s="1"/>
  <c r="GA27" i="26" s="1"/>
  <c r="FB42" i="26"/>
  <c r="GA26" i="26" s="1"/>
  <c r="AQ49" i="4"/>
  <c r="AQ50" i="4" s="1"/>
  <c r="AO49" i="4"/>
  <c r="AO50" i="4" s="1"/>
  <c r="CM47" i="27"/>
  <c r="CM45" i="27"/>
  <c r="CM49" i="27"/>
  <c r="CM48" i="27"/>
  <c r="BZ13" i="27"/>
  <c r="BZ46" i="27" s="1"/>
  <c r="AM50" i="4"/>
  <c r="BH13" i="27"/>
  <c r="BH46" i="27" s="1"/>
  <c r="ID67" i="26"/>
  <c r="BZ40" i="27"/>
  <c r="HJ262" i="26"/>
  <c r="HJ71" i="26" s="1"/>
  <c r="HL20" i="26"/>
  <c r="ID20" i="26" s="1"/>
  <c r="HJ20" i="26"/>
  <c r="HN20" i="26"/>
  <c r="HN262" i="26"/>
  <c r="HN71" i="26" s="1"/>
  <c r="HL262" i="26"/>
  <c r="HL71" i="26" s="1"/>
  <c r="ID71" i="26" s="1"/>
  <c r="HN211" i="26"/>
  <c r="HJ211" i="26"/>
  <c r="HL211" i="26"/>
  <c r="HF210" i="26"/>
  <c r="HF117" i="26"/>
  <c r="HF18" i="26"/>
  <c r="AT117" i="27"/>
  <c r="AT109" i="27"/>
  <c r="BZ24" i="27"/>
  <c r="BH24" i="27"/>
  <c r="Q59" i="27"/>
  <c r="IZ22" i="26"/>
  <c r="IO11" i="26"/>
  <c r="Q54" i="27"/>
  <c r="Q31" i="27" s="1"/>
  <c r="Q53" i="27"/>
  <c r="Q29" i="27" s="1"/>
  <c r="L40" i="45" l="1"/>
  <c r="L45" i="45" s="1"/>
  <c r="L51" i="45" s="1"/>
  <c r="FK43" i="26"/>
  <c r="HN68" i="26"/>
  <c r="N88" i="45"/>
  <c r="N53" i="45"/>
  <c r="N57" i="45"/>
  <c r="N119" i="45" s="1"/>
  <c r="J51" i="45"/>
  <c r="HL68" i="26"/>
  <c r="ID68" i="26" s="1"/>
  <c r="L57" i="45"/>
  <c r="L119" i="45" s="1"/>
  <c r="L88" i="45"/>
  <c r="L53" i="45"/>
  <c r="HJ68" i="26"/>
  <c r="J88" i="45"/>
  <c r="J89" i="45" s="1"/>
  <c r="J53" i="45"/>
  <c r="J57" i="45"/>
  <c r="J119" i="45" s="1"/>
  <c r="N51" i="45"/>
  <c r="C36" i="45"/>
  <c r="J36" i="45" s="1"/>
  <c r="C41" i="45"/>
  <c r="C42" i="45" s="1"/>
  <c r="C117" i="45" s="1"/>
  <c r="G41" i="45"/>
  <c r="N41" i="45" s="1"/>
  <c r="N46" i="45" s="1"/>
  <c r="G36" i="45"/>
  <c r="N36" i="45" s="1"/>
  <c r="E41" i="45"/>
  <c r="L41" i="45" s="1"/>
  <c r="L46" i="45" s="1"/>
  <c r="E36" i="45"/>
  <c r="L36" i="45" s="1"/>
  <c r="GQ27" i="26"/>
  <c r="GQ26" i="26"/>
  <c r="C45" i="45"/>
  <c r="FI43" i="26"/>
  <c r="FY29" i="26"/>
  <c r="FI41" i="26"/>
  <c r="FY26" i="26"/>
  <c r="FK41" i="26"/>
  <c r="FK42" i="26"/>
  <c r="ID74" i="26"/>
  <c r="EZ43" i="26"/>
  <c r="HN117" i="26"/>
  <c r="HL117" i="26"/>
  <c r="HJ117" i="26"/>
  <c r="HF212" i="26"/>
  <c r="HF69" i="26" s="1"/>
  <c r="HN210" i="26"/>
  <c r="HN212" i="26" s="1"/>
  <c r="HN69" i="26" s="1"/>
  <c r="HL210" i="26"/>
  <c r="HL212" i="26" s="1"/>
  <c r="HL69" i="26" s="1"/>
  <c r="ID69" i="26" s="1"/>
  <c r="HJ210" i="26"/>
  <c r="HJ212" i="26" s="1"/>
  <c r="HJ69" i="26" s="1"/>
  <c r="HL18" i="26"/>
  <c r="ID18" i="26" s="1"/>
  <c r="HN18" i="26"/>
  <c r="HJ18" i="26"/>
  <c r="IO20" i="26"/>
  <c r="Q63" i="27"/>
  <c r="Q67" i="27" s="1"/>
  <c r="Q60" i="27"/>
  <c r="AT123" i="27"/>
  <c r="AT121" i="27"/>
  <c r="AT127" i="27" s="1"/>
  <c r="AT12" i="27"/>
  <c r="AT138" i="27" s="1"/>
  <c r="W29" i="27"/>
  <c r="CM29" i="27" s="1"/>
  <c r="Q62" i="27"/>
  <c r="Q66" i="27" s="1"/>
  <c r="W31" i="27"/>
  <c r="CM31" i="27" s="1"/>
  <c r="Q46" i="33"/>
  <c r="Q14" i="33"/>
  <c r="Y14" i="33" s="1"/>
  <c r="Q34" i="33"/>
  <c r="Q19" i="33"/>
  <c r="Q37" i="33" s="1"/>
  <c r="Q21" i="33"/>
  <c r="Q39" i="33" s="1"/>
  <c r="Q15" i="33" s="1"/>
  <c r="Q18" i="33"/>
  <c r="Q36" i="33" s="1"/>
  <c r="Q12" i="33" s="1"/>
  <c r="AY12" i="33" s="1"/>
  <c r="I16" i="33"/>
  <c r="Q22" i="33" s="1"/>
  <c r="J42" i="45" l="1"/>
  <c r="J117" i="45" s="1"/>
  <c r="L59" i="45"/>
  <c r="N59" i="45"/>
  <c r="J59" i="45"/>
  <c r="L52" i="45"/>
  <c r="L54" i="45" s="1"/>
  <c r="L121" i="45" s="1"/>
  <c r="N52" i="45"/>
  <c r="N54" i="45" s="1"/>
  <c r="N121" i="45" s="1"/>
  <c r="J91" i="45"/>
  <c r="J127" i="45" s="1"/>
  <c r="C46" i="45"/>
  <c r="C52" i="45" s="1"/>
  <c r="J41" i="45"/>
  <c r="J46" i="45" s="1"/>
  <c r="N89" i="45"/>
  <c r="L89" i="45"/>
  <c r="E46" i="45"/>
  <c r="E52" i="45" s="1"/>
  <c r="E42" i="45"/>
  <c r="E117" i="45" s="1"/>
  <c r="G46" i="45"/>
  <c r="G52" i="45" s="1"/>
  <c r="G42" i="45"/>
  <c r="G117" i="45" s="1"/>
  <c r="C51" i="45"/>
  <c r="GO29" i="26"/>
  <c r="GO26" i="26"/>
  <c r="FI42" i="26"/>
  <c r="FY27" i="26"/>
  <c r="AT139" i="27"/>
  <c r="BZ21" i="26"/>
  <c r="CT21" i="26" s="1"/>
  <c r="BY12" i="33"/>
  <c r="Q40" i="33"/>
  <c r="Y12" i="33"/>
  <c r="IB69" i="26"/>
  <c r="IB17" i="26"/>
  <c r="IB67" i="26"/>
  <c r="IB15" i="26"/>
  <c r="IB74" i="26"/>
  <c r="IB18" i="26"/>
  <c r="IB20" i="26"/>
  <c r="IB21" i="26"/>
  <c r="IB23" i="26"/>
  <c r="IB24" i="26"/>
  <c r="Q64" i="27"/>
  <c r="Q68" i="27" s="1"/>
  <c r="BZ12" i="27"/>
  <c r="CO12" i="27" s="1"/>
  <c r="BH12" i="27"/>
  <c r="AT19" i="27"/>
  <c r="K9" i="10"/>
  <c r="J9" i="10"/>
  <c r="I9" i="10"/>
  <c r="H9" i="10"/>
  <c r="G9" i="10"/>
  <c r="F9" i="10"/>
  <c r="E9" i="10"/>
  <c r="D9" i="10"/>
  <c r="C9" i="10"/>
  <c r="L12" i="14"/>
  <c r="K12" i="14"/>
  <c r="J12" i="14"/>
  <c r="H12" i="14"/>
  <c r="G12" i="14"/>
  <c r="F12" i="14"/>
  <c r="E12" i="14"/>
  <c r="D12" i="14"/>
  <c r="L11" i="14"/>
  <c r="K11" i="14"/>
  <c r="J11" i="14"/>
  <c r="I11" i="14"/>
  <c r="H11" i="14"/>
  <c r="U11" i="14" s="1"/>
  <c r="G11" i="14"/>
  <c r="F11" i="14"/>
  <c r="E11" i="14"/>
  <c r="D11" i="14"/>
  <c r="L10" i="14"/>
  <c r="K10" i="14"/>
  <c r="J10" i="14"/>
  <c r="I10" i="14"/>
  <c r="H10" i="14"/>
  <c r="U10" i="14" s="1"/>
  <c r="G10" i="14"/>
  <c r="F10" i="14"/>
  <c r="E10" i="14"/>
  <c r="D10" i="14"/>
  <c r="L9" i="14"/>
  <c r="K9" i="14"/>
  <c r="J9" i="14"/>
  <c r="I9" i="14"/>
  <c r="H9" i="14"/>
  <c r="U9" i="14" s="1"/>
  <c r="G9" i="14"/>
  <c r="F9" i="14"/>
  <c r="E9" i="14"/>
  <c r="D9" i="14"/>
  <c r="L8" i="14"/>
  <c r="K8" i="14"/>
  <c r="J8" i="14"/>
  <c r="I8" i="14"/>
  <c r="H8" i="14"/>
  <c r="U8" i="14" s="1"/>
  <c r="G8" i="14"/>
  <c r="F8" i="14"/>
  <c r="E8" i="14"/>
  <c r="D8" i="14"/>
  <c r="J13" i="8"/>
  <c r="I13" i="8"/>
  <c r="H13" i="8"/>
  <c r="G13" i="8"/>
  <c r="T13" i="8" s="1"/>
  <c r="F13" i="8"/>
  <c r="E13" i="8"/>
  <c r="D13" i="8"/>
  <c r="C13" i="8"/>
  <c r="P13" i="8" s="1"/>
  <c r="J12" i="8"/>
  <c r="I12" i="8"/>
  <c r="H12" i="8"/>
  <c r="G12" i="8"/>
  <c r="F12" i="8"/>
  <c r="E12" i="8"/>
  <c r="D12" i="8"/>
  <c r="C12" i="8"/>
  <c r="J11" i="8"/>
  <c r="I11" i="8"/>
  <c r="H11" i="8"/>
  <c r="G11" i="8"/>
  <c r="T11" i="8" s="1"/>
  <c r="F11" i="8"/>
  <c r="E11" i="8"/>
  <c r="D11" i="8"/>
  <c r="C11" i="8"/>
  <c r="P11" i="8" s="1"/>
  <c r="J10" i="8"/>
  <c r="I10" i="8"/>
  <c r="H10" i="8"/>
  <c r="G10" i="8"/>
  <c r="T10" i="8" s="1"/>
  <c r="F10" i="8"/>
  <c r="E10" i="8"/>
  <c r="D10" i="8"/>
  <c r="C10" i="8"/>
  <c r="P10" i="8" s="1"/>
  <c r="J9" i="8"/>
  <c r="I9" i="8"/>
  <c r="H9" i="8"/>
  <c r="G9" i="8"/>
  <c r="T9" i="8" s="1"/>
  <c r="F9" i="8"/>
  <c r="E9" i="8"/>
  <c r="D9" i="8"/>
  <c r="C9" i="8"/>
  <c r="P9" i="8" s="1"/>
  <c r="J8" i="8"/>
  <c r="I8" i="8"/>
  <c r="H8" i="8"/>
  <c r="G8" i="8"/>
  <c r="F8" i="8"/>
  <c r="E8" i="8"/>
  <c r="D8" i="8"/>
  <c r="C8" i="8"/>
  <c r="AE8" i="18"/>
  <c r="AF7" i="18"/>
  <c r="AE7" i="18"/>
  <c r="U7" i="7"/>
  <c r="T7" i="7"/>
  <c r="U6" i="7"/>
  <c r="T6" i="7"/>
  <c r="AA6" i="7" s="1"/>
  <c r="L34" i="6"/>
  <c r="Z34" i="6" s="1"/>
  <c r="K34" i="6"/>
  <c r="J34" i="6"/>
  <c r="I34" i="6"/>
  <c r="H34" i="6"/>
  <c r="G34" i="6"/>
  <c r="F34" i="6"/>
  <c r="E34" i="6"/>
  <c r="D34" i="6"/>
  <c r="L33" i="6"/>
  <c r="Z33" i="6" s="1"/>
  <c r="AF33" i="6" s="1"/>
  <c r="K33" i="6"/>
  <c r="J33" i="6"/>
  <c r="I33" i="6"/>
  <c r="H33" i="6"/>
  <c r="G33" i="6"/>
  <c r="F33" i="6"/>
  <c r="E33" i="6"/>
  <c r="D33" i="6"/>
  <c r="L32" i="6"/>
  <c r="Z32" i="6" s="1"/>
  <c r="AF32" i="6" s="1"/>
  <c r="K32" i="6"/>
  <c r="J32" i="6"/>
  <c r="I32" i="6"/>
  <c r="H32" i="6"/>
  <c r="G32" i="6"/>
  <c r="F32" i="6"/>
  <c r="E32" i="6"/>
  <c r="D32" i="6"/>
  <c r="L31" i="6"/>
  <c r="K31" i="6"/>
  <c r="J31" i="6"/>
  <c r="I31" i="6"/>
  <c r="H31" i="6"/>
  <c r="G31" i="6"/>
  <c r="F31" i="6"/>
  <c r="E31" i="6"/>
  <c r="L30" i="6"/>
  <c r="Z30" i="6" s="1"/>
  <c r="K30" i="6"/>
  <c r="J30" i="6"/>
  <c r="I30" i="6"/>
  <c r="H30" i="6"/>
  <c r="G30" i="6"/>
  <c r="F30" i="6"/>
  <c r="E30" i="6"/>
  <c r="D30" i="6"/>
  <c r="L29" i="6"/>
  <c r="Z29" i="6" s="1"/>
  <c r="K29" i="6"/>
  <c r="J29" i="6"/>
  <c r="I29" i="6"/>
  <c r="H29" i="6"/>
  <c r="G29" i="6"/>
  <c r="F29" i="6"/>
  <c r="E29" i="6"/>
  <c r="D29" i="6"/>
  <c r="L28" i="6"/>
  <c r="K28" i="6"/>
  <c r="J28" i="6"/>
  <c r="I28" i="6"/>
  <c r="H28" i="6"/>
  <c r="G28" i="6"/>
  <c r="F28" i="6"/>
  <c r="E28" i="6"/>
  <c r="D28" i="6"/>
  <c r="L27" i="6"/>
  <c r="Z27" i="6" s="1"/>
  <c r="AF27" i="6" s="1"/>
  <c r="K27" i="6"/>
  <c r="J27" i="6"/>
  <c r="I27" i="6"/>
  <c r="H27" i="6"/>
  <c r="G27" i="6"/>
  <c r="F27" i="6"/>
  <c r="E27" i="6"/>
  <c r="D27" i="6"/>
  <c r="L26" i="6"/>
  <c r="Z26" i="6" s="1"/>
  <c r="K26" i="6"/>
  <c r="J26" i="6"/>
  <c r="I26" i="6"/>
  <c r="H26" i="6"/>
  <c r="G26" i="6"/>
  <c r="F26" i="6"/>
  <c r="E26" i="6"/>
  <c r="D26" i="6"/>
  <c r="L25" i="6"/>
  <c r="Z25" i="6" s="1"/>
  <c r="AF25" i="6" s="1"/>
  <c r="K25" i="6"/>
  <c r="J25" i="6"/>
  <c r="I25" i="6"/>
  <c r="H25" i="6"/>
  <c r="G25" i="6"/>
  <c r="F25" i="6"/>
  <c r="E25" i="6"/>
  <c r="D25" i="6"/>
  <c r="L24" i="6"/>
  <c r="Z24" i="6" s="1"/>
  <c r="AF24" i="6" s="1"/>
  <c r="K24" i="6"/>
  <c r="J24" i="6"/>
  <c r="I24" i="6"/>
  <c r="H24" i="6"/>
  <c r="G24" i="6"/>
  <c r="F24" i="6"/>
  <c r="E24" i="6"/>
  <c r="D24" i="6"/>
  <c r="L23" i="6"/>
  <c r="Z23" i="6" s="1"/>
  <c r="K23" i="6"/>
  <c r="J23" i="6"/>
  <c r="I23" i="6"/>
  <c r="H23" i="6"/>
  <c r="G23" i="6"/>
  <c r="F23" i="6"/>
  <c r="E23" i="6"/>
  <c r="D23" i="6"/>
  <c r="L22" i="6"/>
  <c r="Z22" i="6" s="1"/>
  <c r="AF22" i="6" s="1"/>
  <c r="K22" i="6"/>
  <c r="J22" i="6"/>
  <c r="I22" i="6"/>
  <c r="H22" i="6"/>
  <c r="G22" i="6"/>
  <c r="F22" i="6"/>
  <c r="E22" i="6"/>
  <c r="D22" i="6"/>
  <c r="L21" i="6"/>
  <c r="Z21" i="6" s="1"/>
  <c r="AF21" i="6" s="1"/>
  <c r="K21" i="6"/>
  <c r="J21" i="6"/>
  <c r="I21" i="6"/>
  <c r="H21" i="6"/>
  <c r="G21" i="6"/>
  <c r="F21" i="6"/>
  <c r="E21" i="6"/>
  <c r="D21" i="6"/>
  <c r="L20" i="6"/>
  <c r="Z20" i="6" s="1"/>
  <c r="AF20" i="6" s="1"/>
  <c r="K20" i="6"/>
  <c r="J20" i="6"/>
  <c r="I20" i="6"/>
  <c r="H20" i="6"/>
  <c r="G20" i="6"/>
  <c r="F20" i="6"/>
  <c r="E20" i="6"/>
  <c r="D20" i="6"/>
  <c r="L19" i="6"/>
  <c r="Z19" i="6" s="1"/>
  <c r="AF19" i="6" s="1"/>
  <c r="K19" i="6"/>
  <c r="J19" i="6"/>
  <c r="I19" i="6"/>
  <c r="H19" i="6"/>
  <c r="G19" i="6"/>
  <c r="F19" i="6"/>
  <c r="E19" i="6"/>
  <c r="D19" i="6"/>
  <c r="L18" i="6"/>
  <c r="Z18" i="6" s="1"/>
  <c r="AF18" i="6" s="1"/>
  <c r="K18" i="6"/>
  <c r="J18" i="6"/>
  <c r="I18" i="6"/>
  <c r="H18" i="6"/>
  <c r="G18" i="6"/>
  <c r="F18" i="6"/>
  <c r="E18" i="6"/>
  <c r="D18" i="6"/>
  <c r="L17" i="6"/>
  <c r="Z17" i="6" s="1"/>
  <c r="K17" i="6"/>
  <c r="J17" i="6"/>
  <c r="I17" i="6"/>
  <c r="H17" i="6"/>
  <c r="G17" i="6"/>
  <c r="F17" i="6"/>
  <c r="E17" i="6"/>
  <c r="D17" i="6"/>
  <c r="L16" i="6"/>
  <c r="Z16" i="6" s="1"/>
  <c r="AF16" i="6" s="1"/>
  <c r="K16" i="6"/>
  <c r="J16" i="6"/>
  <c r="I16" i="6"/>
  <c r="H16" i="6"/>
  <c r="G16" i="6"/>
  <c r="F16" i="6"/>
  <c r="E16" i="6"/>
  <c r="D16" i="6"/>
  <c r="L15" i="6"/>
  <c r="Z15" i="6" s="1"/>
  <c r="AF15" i="6" s="1"/>
  <c r="K15" i="6"/>
  <c r="J15" i="6"/>
  <c r="I15" i="6"/>
  <c r="H15" i="6"/>
  <c r="G15" i="6"/>
  <c r="F15" i="6"/>
  <c r="E15" i="6"/>
  <c r="D15" i="6"/>
  <c r="L14" i="6"/>
  <c r="Z14" i="6" s="1"/>
  <c r="AF14" i="6" s="1"/>
  <c r="K14" i="6"/>
  <c r="J14" i="6"/>
  <c r="I14" i="6"/>
  <c r="H14" i="6"/>
  <c r="G14" i="6"/>
  <c r="F14" i="6"/>
  <c r="E14" i="6"/>
  <c r="D14" i="6"/>
  <c r="L13" i="6"/>
  <c r="Z13" i="6" s="1"/>
  <c r="AF13" i="6" s="1"/>
  <c r="K13" i="6"/>
  <c r="J13" i="6"/>
  <c r="I13" i="6"/>
  <c r="H13" i="6"/>
  <c r="G13" i="6"/>
  <c r="F13" i="6"/>
  <c r="E13" i="6"/>
  <c r="D13" i="6"/>
  <c r="L12" i="6"/>
  <c r="Z12" i="6" s="1"/>
  <c r="K12" i="6"/>
  <c r="J12" i="6"/>
  <c r="I12" i="6"/>
  <c r="H12" i="6"/>
  <c r="G12" i="6"/>
  <c r="F12" i="6"/>
  <c r="E12" i="6"/>
  <c r="D12" i="6"/>
  <c r="L11" i="6"/>
  <c r="Z11" i="6" s="1"/>
  <c r="AF11" i="6" s="1"/>
  <c r="K11" i="6"/>
  <c r="J11" i="6"/>
  <c r="I11" i="6"/>
  <c r="H11" i="6"/>
  <c r="G11" i="6"/>
  <c r="F11" i="6"/>
  <c r="E11" i="6"/>
  <c r="D11" i="6"/>
  <c r="L10" i="6"/>
  <c r="Z10" i="6" s="1"/>
  <c r="AF10" i="6" s="1"/>
  <c r="K10" i="6"/>
  <c r="J10" i="6"/>
  <c r="I10" i="6"/>
  <c r="H10" i="6"/>
  <c r="G10" i="6"/>
  <c r="F10" i="6"/>
  <c r="E10" i="6"/>
  <c r="D10" i="6"/>
  <c r="L9" i="6"/>
  <c r="Z9" i="6" s="1"/>
  <c r="AF9" i="6" s="1"/>
  <c r="AP9" i="6" s="1"/>
  <c r="K9" i="6"/>
  <c r="J9" i="6"/>
  <c r="I9" i="6"/>
  <c r="H9" i="6"/>
  <c r="G9" i="6"/>
  <c r="F9" i="6"/>
  <c r="E9" i="6"/>
  <c r="D9" i="6"/>
  <c r="AJ8" i="6"/>
  <c r="AG8" i="6"/>
  <c r="AF8" i="6"/>
  <c r="AG7" i="6"/>
  <c r="AF7" i="6"/>
  <c r="M43" i="4"/>
  <c r="L43" i="4"/>
  <c r="AR43" i="4" s="1"/>
  <c r="K43" i="4"/>
  <c r="J43" i="4"/>
  <c r="AP43" i="4" s="1"/>
  <c r="I43" i="4"/>
  <c r="H43" i="4"/>
  <c r="G43" i="4"/>
  <c r="F43" i="4"/>
  <c r="E43" i="4"/>
  <c r="L42" i="4"/>
  <c r="AR42" i="4" s="1"/>
  <c r="K42" i="4"/>
  <c r="J42" i="4"/>
  <c r="AP42" i="4" s="1"/>
  <c r="I42" i="4"/>
  <c r="H42" i="4"/>
  <c r="G42" i="4"/>
  <c r="F42" i="4"/>
  <c r="E42" i="4"/>
  <c r="M41" i="4"/>
  <c r="L41" i="4"/>
  <c r="AR41" i="4" s="1"/>
  <c r="K41" i="4"/>
  <c r="J41" i="4"/>
  <c r="I41" i="4"/>
  <c r="H41" i="4"/>
  <c r="G41" i="4"/>
  <c r="F41" i="4"/>
  <c r="E41" i="4"/>
  <c r="M40" i="4"/>
  <c r="L40" i="4"/>
  <c r="AR40" i="4" s="1"/>
  <c r="AR48" i="4" s="1"/>
  <c r="K40" i="4"/>
  <c r="J40" i="4"/>
  <c r="AP40" i="4" s="1"/>
  <c r="AP48" i="4" s="1"/>
  <c r="I40" i="4"/>
  <c r="H40" i="4"/>
  <c r="G40" i="4"/>
  <c r="F40" i="4"/>
  <c r="E40" i="4"/>
  <c r="M39" i="4"/>
  <c r="L39" i="4"/>
  <c r="AR39" i="4" s="1"/>
  <c r="K39" i="4"/>
  <c r="J39" i="4"/>
  <c r="I39" i="4"/>
  <c r="H39" i="4"/>
  <c r="G39" i="4"/>
  <c r="F39" i="4"/>
  <c r="E39" i="4"/>
  <c r="M38" i="4"/>
  <c r="L38" i="4"/>
  <c r="AR38" i="4" s="1"/>
  <c r="K38" i="4"/>
  <c r="J38" i="4"/>
  <c r="I38" i="4"/>
  <c r="H38" i="4"/>
  <c r="G38" i="4"/>
  <c r="F38" i="4"/>
  <c r="E38" i="4"/>
  <c r="M36" i="4"/>
  <c r="L36" i="4"/>
  <c r="AR36" i="4" s="1"/>
  <c r="K36" i="4"/>
  <c r="J36" i="4"/>
  <c r="AP36" i="4" s="1"/>
  <c r="I36" i="4"/>
  <c r="H36" i="4"/>
  <c r="G36" i="4"/>
  <c r="F36" i="4"/>
  <c r="E36" i="4"/>
  <c r="M35" i="4"/>
  <c r="L35" i="4"/>
  <c r="AR35" i="4" s="1"/>
  <c r="K35" i="4"/>
  <c r="J35" i="4"/>
  <c r="AP35" i="4" s="1"/>
  <c r="I35" i="4"/>
  <c r="H35" i="4"/>
  <c r="G35" i="4"/>
  <c r="F35" i="4"/>
  <c r="E35" i="4"/>
  <c r="M34" i="4"/>
  <c r="L34" i="4"/>
  <c r="AR34" i="4" s="1"/>
  <c r="K34" i="4"/>
  <c r="J34" i="4"/>
  <c r="AP34" i="4" s="1"/>
  <c r="I34" i="4"/>
  <c r="H34" i="4"/>
  <c r="G34" i="4"/>
  <c r="F34" i="4"/>
  <c r="E34" i="4"/>
  <c r="M33" i="4"/>
  <c r="L33" i="4"/>
  <c r="AR33" i="4" s="1"/>
  <c r="K33" i="4"/>
  <c r="J33" i="4"/>
  <c r="AP33" i="4" s="1"/>
  <c r="I33" i="4"/>
  <c r="H33" i="4"/>
  <c r="G33" i="4"/>
  <c r="F33" i="4"/>
  <c r="E33" i="4"/>
  <c r="M32" i="4"/>
  <c r="L32" i="4"/>
  <c r="AR32" i="4" s="1"/>
  <c r="K32" i="4"/>
  <c r="J32" i="4"/>
  <c r="AP32" i="4" s="1"/>
  <c r="I32" i="4"/>
  <c r="H32" i="4"/>
  <c r="G32" i="4"/>
  <c r="F32" i="4"/>
  <c r="E32" i="4"/>
  <c r="M31" i="4"/>
  <c r="L31" i="4"/>
  <c r="AR31" i="4" s="1"/>
  <c r="K31" i="4"/>
  <c r="J31" i="4"/>
  <c r="AP31" i="4" s="1"/>
  <c r="I31" i="4"/>
  <c r="H31" i="4"/>
  <c r="G31" i="4"/>
  <c r="F31" i="4"/>
  <c r="E31" i="4"/>
  <c r="M30" i="4"/>
  <c r="L30" i="4"/>
  <c r="AR30" i="4" s="1"/>
  <c r="K30" i="4"/>
  <c r="J30" i="4"/>
  <c r="AP30" i="4" s="1"/>
  <c r="I30" i="4"/>
  <c r="H30" i="4"/>
  <c r="G30" i="4"/>
  <c r="F30" i="4"/>
  <c r="E30" i="4"/>
  <c r="M29" i="4"/>
  <c r="L29" i="4"/>
  <c r="AR29" i="4" s="1"/>
  <c r="K29" i="4"/>
  <c r="J29" i="4"/>
  <c r="AP29" i="4" s="1"/>
  <c r="I29" i="4"/>
  <c r="H29" i="4"/>
  <c r="G29" i="4"/>
  <c r="F29" i="4"/>
  <c r="E29" i="4"/>
  <c r="M27" i="4"/>
  <c r="L27" i="4"/>
  <c r="AR27" i="4" s="1"/>
  <c r="K27" i="4"/>
  <c r="J27" i="4"/>
  <c r="AP27" i="4" s="1"/>
  <c r="I27" i="4"/>
  <c r="H27" i="4"/>
  <c r="G27" i="4"/>
  <c r="F27" i="4"/>
  <c r="E27" i="4"/>
  <c r="M26" i="4"/>
  <c r="L26" i="4"/>
  <c r="AR26" i="4" s="1"/>
  <c r="K26" i="4"/>
  <c r="J26" i="4"/>
  <c r="AP26" i="4" s="1"/>
  <c r="I26" i="4"/>
  <c r="H26" i="4"/>
  <c r="G26" i="4"/>
  <c r="F26" i="4"/>
  <c r="E26" i="4"/>
  <c r="M25" i="4"/>
  <c r="L25" i="4"/>
  <c r="AR25" i="4" s="1"/>
  <c r="K25" i="4"/>
  <c r="J25" i="4"/>
  <c r="AP25" i="4" s="1"/>
  <c r="I25" i="4"/>
  <c r="H25" i="4"/>
  <c r="G25" i="4"/>
  <c r="F25" i="4"/>
  <c r="E25" i="4"/>
  <c r="M23" i="4"/>
  <c r="L23" i="4"/>
  <c r="AR23" i="4" s="1"/>
  <c r="K23" i="4"/>
  <c r="J23" i="4"/>
  <c r="AP23" i="4" s="1"/>
  <c r="I23" i="4"/>
  <c r="H23" i="4"/>
  <c r="G23" i="4"/>
  <c r="F23" i="4"/>
  <c r="E23" i="4"/>
  <c r="M22" i="4"/>
  <c r="L22" i="4"/>
  <c r="AR22" i="4" s="1"/>
  <c r="K22" i="4"/>
  <c r="J22" i="4"/>
  <c r="AP22" i="4" s="1"/>
  <c r="I22" i="4"/>
  <c r="H22" i="4"/>
  <c r="G22" i="4"/>
  <c r="F22" i="4"/>
  <c r="E22" i="4"/>
  <c r="M21" i="4"/>
  <c r="L21" i="4"/>
  <c r="AR21" i="4" s="1"/>
  <c r="K21" i="4"/>
  <c r="J21" i="4"/>
  <c r="AP21" i="4" s="1"/>
  <c r="I21" i="4"/>
  <c r="H21" i="4"/>
  <c r="G21" i="4"/>
  <c r="F21" i="4"/>
  <c r="E21" i="4"/>
  <c r="M20" i="4"/>
  <c r="L20" i="4"/>
  <c r="AR20" i="4" s="1"/>
  <c r="K20" i="4"/>
  <c r="J20" i="4"/>
  <c r="AP20" i="4" s="1"/>
  <c r="I20" i="4"/>
  <c r="H20" i="4"/>
  <c r="G20" i="4"/>
  <c r="F20" i="4"/>
  <c r="E20" i="4"/>
  <c r="M19" i="4"/>
  <c r="L19" i="4"/>
  <c r="K19" i="4"/>
  <c r="J19" i="4"/>
  <c r="I19" i="4"/>
  <c r="H19" i="4"/>
  <c r="G19" i="4"/>
  <c r="F19" i="4"/>
  <c r="E19" i="4"/>
  <c r="M18" i="4"/>
  <c r="L18" i="4"/>
  <c r="AR18" i="4" s="1"/>
  <c r="K18" i="4"/>
  <c r="J18" i="4"/>
  <c r="AP18" i="4" s="1"/>
  <c r="I18" i="4"/>
  <c r="H18" i="4"/>
  <c r="G18" i="4"/>
  <c r="F18" i="4"/>
  <c r="E18" i="4"/>
  <c r="M17" i="4"/>
  <c r="L17" i="4"/>
  <c r="AR17" i="4" s="1"/>
  <c r="K17" i="4"/>
  <c r="J17" i="4"/>
  <c r="AP17" i="4" s="1"/>
  <c r="I17" i="4"/>
  <c r="H17" i="4"/>
  <c r="G17" i="4"/>
  <c r="F17" i="4"/>
  <c r="E17" i="4"/>
  <c r="M16" i="4"/>
  <c r="L16" i="4"/>
  <c r="AR16" i="4" s="1"/>
  <c r="K16" i="4"/>
  <c r="J16" i="4"/>
  <c r="AP16" i="4" s="1"/>
  <c r="I16" i="4"/>
  <c r="H16" i="4"/>
  <c r="G16" i="4"/>
  <c r="F16" i="4"/>
  <c r="E16" i="4"/>
  <c r="M15" i="4"/>
  <c r="L15" i="4"/>
  <c r="AR15" i="4" s="1"/>
  <c r="K15" i="4"/>
  <c r="J15" i="4"/>
  <c r="AP15" i="4" s="1"/>
  <c r="I15" i="4"/>
  <c r="H15" i="4"/>
  <c r="G15" i="4"/>
  <c r="F15" i="4"/>
  <c r="E15" i="4"/>
  <c r="M14" i="4"/>
  <c r="L14" i="4"/>
  <c r="AR14" i="4" s="1"/>
  <c r="K14" i="4"/>
  <c r="J14" i="4"/>
  <c r="AP14" i="4" s="1"/>
  <c r="I14" i="4"/>
  <c r="H14" i="4"/>
  <c r="G14" i="4"/>
  <c r="F14" i="4"/>
  <c r="E14" i="4"/>
  <c r="M13" i="4"/>
  <c r="L13" i="4"/>
  <c r="AR13" i="4" s="1"/>
  <c r="K13" i="4"/>
  <c r="J13" i="4"/>
  <c r="AP13" i="4" s="1"/>
  <c r="I13" i="4"/>
  <c r="H13" i="4"/>
  <c r="G13" i="4"/>
  <c r="F13" i="4"/>
  <c r="E13" i="4"/>
  <c r="M12" i="4"/>
  <c r="L12" i="4"/>
  <c r="AR12" i="4" s="1"/>
  <c r="K12" i="4"/>
  <c r="J12" i="4"/>
  <c r="AP12" i="4" s="1"/>
  <c r="I12" i="4"/>
  <c r="H12" i="4"/>
  <c r="G12" i="4"/>
  <c r="F12" i="4"/>
  <c r="E12" i="4"/>
  <c r="M11" i="4"/>
  <c r="AM11" i="4" s="1"/>
  <c r="BP11" i="4" s="1"/>
  <c r="L11" i="4"/>
  <c r="AR11" i="4" s="1"/>
  <c r="K11" i="4"/>
  <c r="J11" i="4"/>
  <c r="AP11" i="4" s="1"/>
  <c r="I11" i="4"/>
  <c r="H11" i="4"/>
  <c r="G11" i="4"/>
  <c r="F11" i="4"/>
  <c r="E11" i="4"/>
  <c r="M10" i="4"/>
  <c r="L10" i="4"/>
  <c r="K10" i="4"/>
  <c r="J10" i="4"/>
  <c r="I10" i="4"/>
  <c r="H10" i="4"/>
  <c r="G10" i="4"/>
  <c r="F10" i="4"/>
  <c r="E10" i="4"/>
  <c r="AK7" i="3"/>
  <c r="AI7" i="3"/>
  <c r="AH7" i="3"/>
  <c r="AG7" i="3"/>
  <c r="AF7" i="3"/>
  <c r="AI6" i="3"/>
  <c r="AH6" i="3"/>
  <c r="AG6" i="3"/>
  <c r="AF6" i="3"/>
  <c r="K41" i="27"/>
  <c r="J41" i="27"/>
  <c r="I41" i="27"/>
  <c r="H41" i="27"/>
  <c r="K40" i="27"/>
  <c r="J40" i="27"/>
  <c r="I40" i="27"/>
  <c r="H40" i="27"/>
  <c r="K39" i="27"/>
  <c r="GZ218" i="26" s="1"/>
  <c r="J39" i="27"/>
  <c r="GY218" i="26" s="1"/>
  <c r="I39" i="27"/>
  <c r="GX218" i="26" s="1"/>
  <c r="H39" i="27"/>
  <c r="K38" i="27"/>
  <c r="GZ95" i="26" s="1"/>
  <c r="J38" i="27"/>
  <c r="GY95" i="26" s="1"/>
  <c r="I38" i="27"/>
  <c r="GX95" i="26" s="1"/>
  <c r="H38" i="27"/>
  <c r="K37" i="27"/>
  <c r="J37" i="27"/>
  <c r="I37" i="27"/>
  <c r="H37" i="27"/>
  <c r="K36" i="27"/>
  <c r="J36" i="27"/>
  <c r="I36" i="27"/>
  <c r="H36" i="27"/>
  <c r="K35" i="27"/>
  <c r="GZ94" i="26" s="1"/>
  <c r="J35" i="27"/>
  <c r="GY94" i="26" s="1"/>
  <c r="I35" i="27"/>
  <c r="GX94" i="26" s="1"/>
  <c r="H35" i="27"/>
  <c r="K32" i="27"/>
  <c r="J32" i="27"/>
  <c r="I32" i="27"/>
  <c r="H32" i="27"/>
  <c r="K30" i="27"/>
  <c r="J30" i="27"/>
  <c r="I30" i="27"/>
  <c r="H30" i="27"/>
  <c r="K28" i="27"/>
  <c r="J28" i="27"/>
  <c r="I28" i="27"/>
  <c r="H28" i="27"/>
  <c r="GW67" i="26" s="1"/>
  <c r="GW74" i="26" s="1"/>
  <c r="K25" i="27"/>
  <c r="J25" i="27"/>
  <c r="I25" i="27"/>
  <c r="H25" i="27"/>
  <c r="K24" i="27"/>
  <c r="J24" i="27"/>
  <c r="I24" i="27"/>
  <c r="H24" i="27"/>
  <c r="K23" i="27"/>
  <c r="GZ96" i="26" s="1"/>
  <c r="J23" i="27"/>
  <c r="GY96" i="26" s="1"/>
  <c r="I23" i="27"/>
  <c r="GX96" i="26" s="1"/>
  <c r="H23" i="27"/>
  <c r="K22" i="27"/>
  <c r="J22" i="27"/>
  <c r="I22" i="27"/>
  <c r="H22" i="27"/>
  <c r="K21" i="27"/>
  <c r="J21" i="27"/>
  <c r="I21" i="27"/>
  <c r="H21" i="27"/>
  <c r="K19" i="27"/>
  <c r="J19" i="27"/>
  <c r="I19" i="27"/>
  <c r="H19" i="27"/>
  <c r="K18" i="27"/>
  <c r="J18" i="27"/>
  <c r="I18" i="27"/>
  <c r="H18" i="27"/>
  <c r="K17" i="27"/>
  <c r="J17" i="27"/>
  <c r="I17" i="27"/>
  <c r="H17" i="27"/>
  <c r="K16" i="27"/>
  <c r="J16" i="27"/>
  <c r="I16" i="27"/>
  <c r="H16" i="27"/>
  <c r="K13" i="27"/>
  <c r="J13" i="27"/>
  <c r="I13" i="27"/>
  <c r="H13" i="27"/>
  <c r="K12" i="27"/>
  <c r="AN87" i="27" s="1"/>
  <c r="AN91" i="27" s="1"/>
  <c r="J12" i="27"/>
  <c r="AM87" i="27" s="1"/>
  <c r="AM91" i="27" s="1"/>
  <c r="I12" i="27"/>
  <c r="AL87" i="27" s="1"/>
  <c r="AL91" i="27" s="1"/>
  <c r="K10" i="27"/>
  <c r="J10" i="27"/>
  <c r="I10" i="27"/>
  <c r="H10" i="27"/>
  <c r="GZ17" i="26"/>
  <c r="GY17" i="26"/>
  <c r="GX17" i="26"/>
  <c r="HE15" i="26"/>
  <c r="HL15" i="26" s="1"/>
  <c r="HD15" i="26"/>
  <c r="HC15" i="26"/>
  <c r="HB15" i="26"/>
  <c r="HK15" i="26" s="1"/>
  <c r="HA15" i="26"/>
  <c r="GZ15" i="26"/>
  <c r="GY15" i="26"/>
  <c r="GX15" i="26"/>
  <c r="AE88" i="26"/>
  <c r="HH107" i="26" s="1"/>
  <c r="AD88" i="26"/>
  <c r="HG107" i="26" s="1"/>
  <c r="AC88" i="26"/>
  <c r="HF107" i="26" s="1"/>
  <c r="AB88" i="26"/>
  <c r="HE107" i="26" s="1"/>
  <c r="AA88" i="26"/>
  <c r="HD107" i="26" s="1"/>
  <c r="Z88" i="26"/>
  <c r="HC107" i="26" s="1"/>
  <c r="Y88" i="26"/>
  <c r="HB107" i="26" s="1"/>
  <c r="X88" i="26"/>
  <c r="HA107" i="26" s="1"/>
  <c r="W88" i="26"/>
  <c r="GZ107" i="26" s="1"/>
  <c r="V88" i="26"/>
  <c r="GY107" i="26" s="1"/>
  <c r="U88" i="26"/>
  <c r="GX107" i="26" s="1"/>
  <c r="T88" i="26"/>
  <c r="GW107" i="26" s="1"/>
  <c r="AE86" i="26"/>
  <c r="HH55" i="26" s="1"/>
  <c r="AD86" i="26"/>
  <c r="HG55" i="26" s="1"/>
  <c r="AC86" i="26"/>
  <c r="HF55" i="26" s="1"/>
  <c r="HJ55" i="26" s="1"/>
  <c r="IB55" i="26" s="1"/>
  <c r="AB86" i="26"/>
  <c r="HE55" i="26" s="1"/>
  <c r="AA86" i="26"/>
  <c r="HD55" i="26" s="1"/>
  <c r="Z86" i="26"/>
  <c r="HC55" i="26" s="1"/>
  <c r="Y86" i="26"/>
  <c r="HB55" i="26" s="1"/>
  <c r="HK55" i="26" s="1"/>
  <c r="IC55" i="26" s="1"/>
  <c r="X86" i="26"/>
  <c r="HA55" i="26" s="1"/>
  <c r="W86" i="26"/>
  <c r="GZ55" i="26" s="1"/>
  <c r="V86" i="26"/>
  <c r="GY55" i="26" s="1"/>
  <c r="U86" i="26"/>
  <c r="GX55" i="26" s="1"/>
  <c r="T86" i="26"/>
  <c r="GW55" i="26" s="1"/>
  <c r="R88" i="26"/>
  <c r="HH106" i="26" s="1"/>
  <c r="HH108" i="26" s="1"/>
  <c r="HH109" i="26" s="1"/>
  <c r="HH19" i="26" s="1"/>
  <c r="Q88" i="26"/>
  <c r="HG106" i="26" s="1"/>
  <c r="O88" i="26"/>
  <c r="HE106" i="26" s="1"/>
  <c r="N88" i="26"/>
  <c r="HD106" i="26" s="1"/>
  <c r="HD108" i="26" s="1"/>
  <c r="HO108" i="26" s="1"/>
  <c r="H47" i="45" s="1"/>
  <c r="O47" i="45" s="1"/>
  <c r="M88" i="26"/>
  <c r="HC106" i="26" s="1"/>
  <c r="L88" i="26"/>
  <c r="HB106" i="26" s="1"/>
  <c r="K88" i="26"/>
  <c r="HA106" i="26" s="1"/>
  <c r="J88" i="26"/>
  <c r="GZ106" i="26" s="1"/>
  <c r="I88" i="26"/>
  <c r="GY106" i="26" s="1"/>
  <c r="H88" i="26"/>
  <c r="GX106" i="26" s="1"/>
  <c r="G88" i="26"/>
  <c r="GW106" i="26" s="1"/>
  <c r="O86" i="26"/>
  <c r="N86" i="26"/>
  <c r="M86" i="26"/>
  <c r="L86" i="26"/>
  <c r="K86" i="26"/>
  <c r="J86" i="26"/>
  <c r="J87" i="26" s="1"/>
  <c r="I86" i="26"/>
  <c r="H86" i="26"/>
  <c r="G86" i="26"/>
  <c r="A1" i="13"/>
  <c r="F3" i="11"/>
  <c r="E3" i="11"/>
  <c r="D3" i="11"/>
  <c r="C3" i="11"/>
  <c r="B3" i="11"/>
  <c r="E2" i="11"/>
  <c r="D2" i="11"/>
  <c r="C2" i="11"/>
  <c r="B2" i="11"/>
  <c r="E24" i="19"/>
  <c r="D24" i="19"/>
  <c r="C24" i="19"/>
  <c r="B24" i="19"/>
  <c r="E23" i="19"/>
  <c r="D23" i="19"/>
  <c r="C23" i="19"/>
  <c r="B23" i="19"/>
  <c r="E22" i="19"/>
  <c r="D22" i="19"/>
  <c r="C22" i="19"/>
  <c r="B22" i="19"/>
  <c r="E14" i="19"/>
  <c r="D14" i="19"/>
  <c r="C14" i="19"/>
  <c r="B14" i="19"/>
  <c r="E10" i="19"/>
  <c r="D10" i="19"/>
  <c r="C10" i="19"/>
  <c r="B10" i="19"/>
  <c r="E9" i="19"/>
  <c r="D9" i="19"/>
  <c r="C9" i="19"/>
  <c r="B9" i="19"/>
  <c r="E8" i="19"/>
  <c r="D8" i="19"/>
  <c r="C8" i="19"/>
  <c r="B8" i="19"/>
  <c r="E7" i="19"/>
  <c r="D7" i="19"/>
  <c r="C7" i="19"/>
  <c r="B7" i="19"/>
  <c r="E4" i="19"/>
  <c r="D4" i="19"/>
  <c r="C4" i="19"/>
  <c r="B4" i="19"/>
  <c r="E3" i="19"/>
  <c r="D3" i="19"/>
  <c r="C3" i="19"/>
  <c r="B3" i="19"/>
  <c r="E2" i="19"/>
  <c r="D2" i="19"/>
  <c r="C2" i="19"/>
  <c r="B2" i="19"/>
  <c r="C33" i="20"/>
  <c r="C30" i="20"/>
  <c r="C29" i="20"/>
  <c r="C28" i="20"/>
  <c r="C25" i="20"/>
  <c r="C24" i="20"/>
  <c r="C23" i="20"/>
  <c r="A14" i="20"/>
  <c r="D13" i="20"/>
  <c r="C13" i="20"/>
  <c r="D12" i="20"/>
  <c r="C12" i="20"/>
  <c r="A7" i="20"/>
  <c r="D6" i="20"/>
  <c r="C6" i="20"/>
  <c r="A4" i="20"/>
  <c r="D3" i="20"/>
  <c r="C3" i="20"/>
  <c r="D2" i="20"/>
  <c r="C2" i="20"/>
  <c r="A1" i="20"/>
  <c r="L66" i="5"/>
  <c r="L64" i="5"/>
  <c r="L63" i="5"/>
  <c r="L61" i="5"/>
  <c r="L60" i="5"/>
  <c r="L59" i="5"/>
  <c r="L58" i="5"/>
  <c r="L57" i="5"/>
  <c r="L56" i="5"/>
  <c r="L55" i="5"/>
  <c r="L53" i="5"/>
  <c r="L52" i="5"/>
  <c r="L50" i="5"/>
  <c r="L49" i="5"/>
  <c r="L48" i="5"/>
  <c r="L45" i="5"/>
  <c r="G66" i="5"/>
  <c r="F66" i="5"/>
  <c r="E66" i="5"/>
  <c r="D66" i="5"/>
  <c r="C66" i="5"/>
  <c r="B66" i="5"/>
  <c r="A66" i="5"/>
  <c r="G65" i="5"/>
  <c r="F65" i="5"/>
  <c r="E65" i="5"/>
  <c r="D65" i="5"/>
  <c r="C65" i="5"/>
  <c r="B65" i="5"/>
  <c r="G64" i="5"/>
  <c r="F64" i="5"/>
  <c r="E64" i="5"/>
  <c r="D64" i="5"/>
  <c r="C64" i="5"/>
  <c r="B64" i="5"/>
  <c r="G63" i="5"/>
  <c r="F63" i="5"/>
  <c r="E63" i="5"/>
  <c r="D63" i="5"/>
  <c r="C63" i="5"/>
  <c r="B63" i="5"/>
  <c r="G62" i="5"/>
  <c r="F62" i="5"/>
  <c r="G61" i="5"/>
  <c r="F61" i="5"/>
  <c r="E61" i="5"/>
  <c r="D61" i="5"/>
  <c r="C61" i="5"/>
  <c r="B61" i="5"/>
  <c r="A61" i="5"/>
  <c r="G60" i="5"/>
  <c r="F60" i="5"/>
  <c r="E60" i="5"/>
  <c r="D60" i="5"/>
  <c r="C60" i="5"/>
  <c r="B60" i="5"/>
  <c r="A60" i="5"/>
  <c r="G59" i="5"/>
  <c r="F59" i="5"/>
  <c r="E59" i="5"/>
  <c r="D59" i="5"/>
  <c r="C59" i="5"/>
  <c r="B59" i="5"/>
  <c r="A59" i="5"/>
  <c r="E58" i="5"/>
  <c r="D58" i="5"/>
  <c r="C58" i="5"/>
  <c r="B58" i="5"/>
  <c r="A58" i="5"/>
  <c r="G57" i="5"/>
  <c r="F57" i="5"/>
  <c r="E56" i="5"/>
  <c r="D56" i="5"/>
  <c r="C56" i="5"/>
  <c r="B56" i="5"/>
  <c r="A56" i="5"/>
  <c r="G55" i="5"/>
  <c r="F55" i="5"/>
  <c r="E55" i="5"/>
  <c r="D55" i="5"/>
  <c r="C55" i="5"/>
  <c r="B55" i="5"/>
  <c r="A55" i="5"/>
  <c r="G52" i="5"/>
  <c r="F52" i="5"/>
  <c r="E52" i="5"/>
  <c r="D52" i="5"/>
  <c r="C52" i="5"/>
  <c r="B52" i="5"/>
  <c r="G50" i="5"/>
  <c r="F50" i="5"/>
  <c r="E50" i="5"/>
  <c r="D50" i="5"/>
  <c r="C50" i="5"/>
  <c r="B50" i="5"/>
  <c r="A50" i="5"/>
  <c r="G49" i="5"/>
  <c r="F49" i="5"/>
  <c r="E49" i="5"/>
  <c r="D49" i="5"/>
  <c r="C49" i="5"/>
  <c r="B49" i="5"/>
  <c r="A49" i="5"/>
  <c r="G48" i="5"/>
  <c r="F48" i="5"/>
  <c r="E48" i="5"/>
  <c r="D48" i="5"/>
  <c r="C48" i="5"/>
  <c r="B48" i="5"/>
  <c r="A48" i="5"/>
  <c r="G45" i="5"/>
  <c r="F45" i="5"/>
  <c r="E45" i="5"/>
  <c r="D45" i="5"/>
  <c r="C45" i="5"/>
  <c r="B45" i="5"/>
  <c r="A45" i="5"/>
  <c r="G3" i="5"/>
  <c r="F3" i="5"/>
  <c r="E3" i="5"/>
  <c r="D3" i="5"/>
  <c r="C3" i="5"/>
  <c r="B3" i="5"/>
  <c r="F2" i="5"/>
  <c r="E2" i="5"/>
  <c r="D2" i="5"/>
  <c r="C2" i="5"/>
  <c r="B2" i="5"/>
  <c r="A1" i="5"/>
  <c r="J30" i="2"/>
  <c r="J29" i="2"/>
  <c r="J28" i="2"/>
  <c r="J27" i="2"/>
  <c r="J26" i="2"/>
  <c r="J25" i="2"/>
  <c r="J24" i="2"/>
  <c r="J23" i="2"/>
  <c r="J21" i="2"/>
  <c r="J20" i="2"/>
  <c r="J19" i="2"/>
  <c r="J18" i="2"/>
  <c r="J16" i="2"/>
  <c r="J15" i="2"/>
  <c r="J14" i="2"/>
  <c r="J13" i="2"/>
  <c r="J12" i="2"/>
  <c r="J10" i="2"/>
  <c r="J9" i="2"/>
  <c r="J8" i="2"/>
  <c r="J7" i="2"/>
  <c r="J6" i="2"/>
  <c r="J5" i="2"/>
  <c r="J4" i="2"/>
  <c r="J3" i="2"/>
  <c r="E30" i="2"/>
  <c r="D30" i="2"/>
  <c r="C30" i="2"/>
  <c r="A30" i="2"/>
  <c r="E29" i="2"/>
  <c r="D29" i="2"/>
  <c r="C29" i="2"/>
  <c r="A29" i="2"/>
  <c r="E28" i="2"/>
  <c r="D28" i="2"/>
  <c r="C28" i="2"/>
  <c r="B28" i="2"/>
  <c r="A28" i="2"/>
  <c r="E27" i="2"/>
  <c r="D27" i="2"/>
  <c r="C27" i="2"/>
  <c r="A27" i="2"/>
  <c r="E26" i="2"/>
  <c r="D26" i="2"/>
  <c r="C26" i="2"/>
  <c r="A26" i="2"/>
  <c r="E25" i="2"/>
  <c r="D25" i="2"/>
  <c r="C25" i="2"/>
  <c r="A25" i="2"/>
  <c r="E24" i="2"/>
  <c r="D24" i="2"/>
  <c r="C24" i="2"/>
  <c r="A24" i="2"/>
  <c r="A23" i="2"/>
  <c r="E21" i="2"/>
  <c r="D21" i="2"/>
  <c r="C21" i="2"/>
  <c r="A21" i="2"/>
  <c r="E20" i="2"/>
  <c r="D20" i="2"/>
  <c r="C20" i="2"/>
  <c r="A20" i="2"/>
  <c r="E19" i="2"/>
  <c r="D19" i="2"/>
  <c r="C19" i="2"/>
  <c r="A19" i="2"/>
  <c r="A18" i="2"/>
  <c r="E16" i="2"/>
  <c r="D16" i="2"/>
  <c r="C16" i="2"/>
  <c r="A16" i="2"/>
  <c r="E15" i="2"/>
  <c r="D15" i="2"/>
  <c r="C15" i="2"/>
  <c r="A15" i="2"/>
  <c r="E14" i="2"/>
  <c r="D14" i="2"/>
  <c r="C14" i="2"/>
  <c r="A14" i="2"/>
  <c r="E13" i="2"/>
  <c r="D13" i="2"/>
  <c r="C13" i="2"/>
  <c r="B13" i="2"/>
  <c r="A13" i="2"/>
  <c r="E12" i="2"/>
  <c r="D12" i="2"/>
  <c r="C12" i="2"/>
  <c r="A12" i="2"/>
  <c r="E10" i="2"/>
  <c r="D10" i="2"/>
  <c r="C10" i="2"/>
  <c r="A10" i="2"/>
  <c r="E9" i="2"/>
  <c r="D9" i="2"/>
  <c r="C9" i="2"/>
  <c r="A9" i="2"/>
  <c r="E8" i="2"/>
  <c r="D8" i="2"/>
  <c r="C8" i="2"/>
  <c r="A8" i="2"/>
  <c r="E7" i="2"/>
  <c r="D7" i="2"/>
  <c r="C7" i="2"/>
  <c r="A7" i="2"/>
  <c r="E6" i="2"/>
  <c r="D6" i="2"/>
  <c r="C6" i="2"/>
  <c r="A6" i="2"/>
  <c r="E5" i="2"/>
  <c r="D5" i="2"/>
  <c r="C5" i="2"/>
  <c r="A5" i="2"/>
  <c r="A4" i="2"/>
  <c r="E3" i="2"/>
  <c r="D3" i="2"/>
  <c r="C3" i="2"/>
  <c r="B3" i="2"/>
  <c r="A3" i="2"/>
  <c r="E2" i="2"/>
  <c r="D2" i="2"/>
  <c r="C2" i="2"/>
  <c r="D65" i="16"/>
  <c r="D36" i="16"/>
  <c r="E25" i="16"/>
  <c r="D25" i="16"/>
  <c r="E24" i="16"/>
  <c r="D24" i="16"/>
  <c r="D23" i="16"/>
  <c r="E22" i="16"/>
  <c r="D22" i="16"/>
  <c r="E19" i="16"/>
  <c r="D19" i="16"/>
  <c r="C19" i="16"/>
  <c r="B19" i="16"/>
  <c r="E18" i="16"/>
  <c r="D18" i="16"/>
  <c r="C18" i="16"/>
  <c r="B18" i="16"/>
  <c r="E17" i="16"/>
  <c r="D17" i="16"/>
  <c r="C17" i="16"/>
  <c r="B17" i="16"/>
  <c r="E16" i="16"/>
  <c r="D16" i="16"/>
  <c r="C16" i="16"/>
  <c r="B16" i="16"/>
  <c r="E15" i="16"/>
  <c r="D15" i="16"/>
  <c r="C15" i="16"/>
  <c r="B15" i="16"/>
  <c r="E11" i="16"/>
  <c r="D11" i="16"/>
  <c r="C11" i="16"/>
  <c r="B11" i="16"/>
  <c r="E10" i="16"/>
  <c r="D10" i="16"/>
  <c r="C10" i="16"/>
  <c r="B10" i="16"/>
  <c r="E9" i="16"/>
  <c r="D9" i="16"/>
  <c r="C9" i="16"/>
  <c r="B9" i="16"/>
  <c r="E8" i="16"/>
  <c r="D8" i="16"/>
  <c r="C8" i="16"/>
  <c r="B8" i="16"/>
  <c r="E7" i="16"/>
  <c r="D7" i="16"/>
  <c r="C7" i="16"/>
  <c r="B7" i="16"/>
  <c r="E4" i="16"/>
  <c r="D4" i="16"/>
  <c r="C4" i="16"/>
  <c r="B4" i="16"/>
  <c r="E3" i="16"/>
  <c r="D3" i="16"/>
  <c r="C3" i="16"/>
  <c r="B3" i="16"/>
  <c r="E2" i="16"/>
  <c r="D2" i="16"/>
  <c r="C2" i="16"/>
  <c r="B2" i="16"/>
  <c r="H52" i="1"/>
  <c r="G52" i="1"/>
  <c r="F52" i="1"/>
  <c r="E52" i="1"/>
  <c r="D52" i="1"/>
  <c r="C52" i="1"/>
  <c r="G51" i="1"/>
  <c r="F51" i="1"/>
  <c r="E51" i="1"/>
  <c r="D51" i="1"/>
  <c r="C51" i="1"/>
  <c r="M47" i="1"/>
  <c r="M46" i="1"/>
  <c r="M45" i="1"/>
  <c r="M44" i="1"/>
  <c r="M43" i="1"/>
  <c r="M42" i="1"/>
  <c r="M41" i="1"/>
  <c r="M40" i="1"/>
  <c r="M39" i="1"/>
  <c r="M38" i="1"/>
  <c r="M37" i="1"/>
  <c r="M36" i="1"/>
  <c r="M35" i="1"/>
  <c r="M33" i="1"/>
  <c r="M32" i="1"/>
  <c r="M31" i="1"/>
  <c r="M30" i="1"/>
  <c r="M28" i="1"/>
  <c r="M27" i="1"/>
  <c r="M26" i="1"/>
  <c r="M25" i="1"/>
  <c r="M24" i="1"/>
  <c r="M23" i="1"/>
  <c r="M22" i="1"/>
  <c r="M21" i="1"/>
  <c r="M20" i="1"/>
  <c r="M18" i="1"/>
  <c r="M16" i="1"/>
  <c r="M15" i="1"/>
  <c r="M14" i="1"/>
  <c r="M12" i="1"/>
  <c r="M11" i="1"/>
  <c r="M10" i="1"/>
  <c r="M9" i="1"/>
  <c r="M8" i="1"/>
  <c r="M6" i="1"/>
  <c r="M5" i="1"/>
  <c r="M4" i="1"/>
  <c r="M3" i="1"/>
  <c r="H47" i="1"/>
  <c r="G47" i="1"/>
  <c r="F47" i="1"/>
  <c r="E47" i="1"/>
  <c r="D47" i="1"/>
  <c r="C47" i="1"/>
  <c r="A47" i="1"/>
  <c r="H46" i="1"/>
  <c r="G46" i="1"/>
  <c r="F46" i="1"/>
  <c r="E46" i="1"/>
  <c r="D46" i="1"/>
  <c r="C46" i="1"/>
  <c r="A46" i="1"/>
  <c r="A45" i="1"/>
  <c r="H44" i="1"/>
  <c r="G44" i="1"/>
  <c r="F44" i="1"/>
  <c r="E44" i="1"/>
  <c r="D44" i="1"/>
  <c r="C44" i="1"/>
  <c r="A44" i="1"/>
  <c r="H43" i="1"/>
  <c r="G43" i="1"/>
  <c r="F43" i="1"/>
  <c r="E43" i="1"/>
  <c r="D43" i="1"/>
  <c r="C43" i="1"/>
  <c r="A43" i="1"/>
  <c r="H42" i="1"/>
  <c r="G42" i="1"/>
  <c r="F42" i="1"/>
  <c r="E42" i="1"/>
  <c r="D42" i="1"/>
  <c r="C42" i="1"/>
  <c r="A42" i="1"/>
  <c r="H41" i="1"/>
  <c r="G41" i="1"/>
  <c r="F41" i="1"/>
  <c r="E41" i="1"/>
  <c r="D41" i="1"/>
  <c r="C41" i="1"/>
  <c r="A41" i="1"/>
  <c r="H40" i="1"/>
  <c r="G40" i="1"/>
  <c r="F40" i="1"/>
  <c r="E40" i="1"/>
  <c r="D40" i="1"/>
  <c r="C40" i="1"/>
  <c r="A40" i="1"/>
  <c r="H39" i="1"/>
  <c r="G39" i="1"/>
  <c r="F39" i="1"/>
  <c r="E39" i="1"/>
  <c r="D39" i="1"/>
  <c r="C39" i="1"/>
  <c r="A39" i="1"/>
  <c r="H38" i="1"/>
  <c r="G38" i="1"/>
  <c r="F38" i="1"/>
  <c r="E38" i="1"/>
  <c r="D38" i="1"/>
  <c r="C38" i="1"/>
  <c r="A38" i="1"/>
  <c r="H37" i="1"/>
  <c r="G37" i="1"/>
  <c r="F37" i="1"/>
  <c r="E37" i="1"/>
  <c r="D37" i="1"/>
  <c r="C37" i="1"/>
  <c r="A37" i="1"/>
  <c r="H36" i="1"/>
  <c r="G36" i="1"/>
  <c r="F36" i="1"/>
  <c r="E36" i="1"/>
  <c r="D36" i="1"/>
  <c r="C36" i="1"/>
  <c r="A36" i="1"/>
  <c r="A35" i="1"/>
  <c r="H33" i="1"/>
  <c r="G33" i="1"/>
  <c r="F33" i="1"/>
  <c r="E33" i="1"/>
  <c r="D33" i="1"/>
  <c r="C33" i="1"/>
  <c r="A33" i="1"/>
  <c r="H32" i="1"/>
  <c r="G32" i="1"/>
  <c r="F32" i="1"/>
  <c r="E32" i="1"/>
  <c r="D32" i="1"/>
  <c r="C32" i="1"/>
  <c r="H31" i="1"/>
  <c r="G31" i="1"/>
  <c r="F31" i="1"/>
  <c r="E31" i="1"/>
  <c r="D31" i="1"/>
  <c r="C31" i="1"/>
  <c r="A30" i="1"/>
  <c r="H28" i="1"/>
  <c r="G28" i="1"/>
  <c r="F28" i="1"/>
  <c r="E28" i="1"/>
  <c r="D28" i="1"/>
  <c r="C28" i="1"/>
  <c r="A28" i="1"/>
  <c r="H27" i="1"/>
  <c r="G27" i="1"/>
  <c r="F27" i="1"/>
  <c r="E27" i="1"/>
  <c r="D27" i="1"/>
  <c r="C27" i="1"/>
  <c r="A27" i="1"/>
  <c r="A26" i="1"/>
  <c r="H25" i="1"/>
  <c r="G25" i="1"/>
  <c r="F25" i="1"/>
  <c r="E25" i="1"/>
  <c r="D25" i="1"/>
  <c r="C25" i="1"/>
  <c r="H24" i="1"/>
  <c r="G24" i="1"/>
  <c r="F24" i="1"/>
  <c r="E24" i="1"/>
  <c r="D24" i="1"/>
  <c r="C24" i="1"/>
  <c r="H23" i="1"/>
  <c r="G23" i="1"/>
  <c r="F23" i="1"/>
  <c r="E23" i="1"/>
  <c r="D23" i="1"/>
  <c r="C23" i="1"/>
  <c r="A23" i="1"/>
  <c r="F22" i="1"/>
  <c r="E22" i="1"/>
  <c r="D22" i="1"/>
  <c r="C22" i="1"/>
  <c r="A22" i="1"/>
  <c r="H21" i="1"/>
  <c r="G21" i="1"/>
  <c r="F21" i="1"/>
  <c r="E21" i="1"/>
  <c r="D21" i="1"/>
  <c r="C21" i="1"/>
  <c r="H20" i="1"/>
  <c r="G20" i="1"/>
  <c r="F20" i="1"/>
  <c r="E20" i="1"/>
  <c r="D20" i="1"/>
  <c r="C20" i="1"/>
  <c r="A20" i="1"/>
  <c r="H18" i="1"/>
  <c r="G18" i="1"/>
  <c r="F18" i="1"/>
  <c r="E18" i="1"/>
  <c r="D18" i="1"/>
  <c r="C18" i="1"/>
  <c r="A18" i="1"/>
  <c r="H16" i="1"/>
  <c r="G16" i="1"/>
  <c r="F16" i="1"/>
  <c r="E16" i="1"/>
  <c r="D16" i="1"/>
  <c r="C16" i="1"/>
  <c r="A16" i="1"/>
  <c r="H15" i="1"/>
  <c r="G15" i="1"/>
  <c r="F15" i="1"/>
  <c r="E15" i="1"/>
  <c r="D15" i="1"/>
  <c r="C15" i="1"/>
  <c r="B15" i="1"/>
  <c r="A15" i="1"/>
  <c r="H14" i="1"/>
  <c r="G14" i="1"/>
  <c r="F14" i="1"/>
  <c r="E14" i="1"/>
  <c r="D14" i="1"/>
  <c r="C14" i="1"/>
  <c r="A14" i="1"/>
  <c r="H12" i="1"/>
  <c r="G12" i="1"/>
  <c r="F12" i="1"/>
  <c r="E12" i="1"/>
  <c r="D12" i="1"/>
  <c r="C12" i="1"/>
  <c r="A12" i="1"/>
  <c r="H11" i="1"/>
  <c r="G11" i="1"/>
  <c r="F11" i="1"/>
  <c r="E11" i="1"/>
  <c r="D11" i="1"/>
  <c r="C11" i="1"/>
  <c r="A11" i="1"/>
  <c r="H10" i="1"/>
  <c r="G10" i="1"/>
  <c r="F10" i="1"/>
  <c r="E10" i="1"/>
  <c r="D10" i="1"/>
  <c r="C10" i="1"/>
  <c r="A10" i="1"/>
  <c r="H9" i="1"/>
  <c r="G9" i="1"/>
  <c r="F9" i="1"/>
  <c r="E9" i="1"/>
  <c r="D9" i="1"/>
  <c r="C9" i="1"/>
  <c r="A9" i="1"/>
  <c r="H8" i="1"/>
  <c r="G8" i="1"/>
  <c r="F8" i="1"/>
  <c r="E8" i="1"/>
  <c r="D8" i="1"/>
  <c r="C8" i="1"/>
  <c r="A8" i="1"/>
  <c r="H6" i="1"/>
  <c r="G6" i="1"/>
  <c r="F6" i="1"/>
  <c r="E6" i="1"/>
  <c r="D6" i="1"/>
  <c r="C6" i="1"/>
  <c r="A6" i="1"/>
  <c r="H5" i="1"/>
  <c r="G5" i="1"/>
  <c r="F5" i="1"/>
  <c r="E5" i="1"/>
  <c r="D5" i="1"/>
  <c r="C5" i="1"/>
  <c r="B5" i="1"/>
  <c r="A5" i="1"/>
  <c r="H4" i="1"/>
  <c r="G4" i="1"/>
  <c r="F4" i="1"/>
  <c r="E4" i="1"/>
  <c r="D4" i="1"/>
  <c r="C4" i="1"/>
  <c r="A4" i="1"/>
  <c r="H3" i="1"/>
  <c r="G3" i="1"/>
  <c r="F3" i="1"/>
  <c r="E3" i="1"/>
  <c r="D3" i="1"/>
  <c r="C3" i="1"/>
  <c r="B3" i="1"/>
  <c r="A3" i="1"/>
  <c r="G2" i="1"/>
  <c r="F2" i="1"/>
  <c r="E2" i="1"/>
  <c r="D2" i="1"/>
  <c r="C2" i="1"/>
  <c r="V12" i="9"/>
  <c r="V11" i="9"/>
  <c r="V10" i="9"/>
  <c r="V9" i="9"/>
  <c r="V8" i="9"/>
  <c r="V7" i="9"/>
  <c r="V5" i="9"/>
  <c r="Y12" i="9"/>
  <c r="Q12" i="9"/>
  <c r="Y11" i="9"/>
  <c r="Q11" i="9"/>
  <c r="Y10" i="9"/>
  <c r="Q10" i="9"/>
  <c r="Y9" i="9"/>
  <c r="Q9" i="9"/>
  <c r="Y8" i="9"/>
  <c r="Q8" i="9"/>
  <c r="T7" i="9"/>
  <c r="Y7" i="9" s="1"/>
  <c r="S7" i="9"/>
  <c r="X7" i="9" s="1"/>
  <c r="R7" i="9"/>
  <c r="W7" i="9" s="1"/>
  <c r="Q7" i="9"/>
  <c r="T6" i="9"/>
  <c r="Y6" i="9" s="1"/>
  <c r="S6" i="9"/>
  <c r="X6" i="9" s="1"/>
  <c r="R6" i="9"/>
  <c r="W6" i="9" s="1"/>
  <c r="Q5" i="9"/>
  <c r="U24" i="10"/>
  <c r="U23" i="10"/>
  <c r="U22" i="10"/>
  <c r="U20" i="10"/>
  <c r="U14" i="10"/>
  <c r="U13" i="10"/>
  <c r="U11" i="10"/>
  <c r="U10" i="10"/>
  <c r="U8" i="10"/>
  <c r="U7" i="10"/>
  <c r="U5" i="10"/>
  <c r="P24" i="10"/>
  <c r="P23" i="10"/>
  <c r="P22" i="10"/>
  <c r="Q21" i="10"/>
  <c r="P21" i="10"/>
  <c r="P20" i="10"/>
  <c r="Q19" i="10"/>
  <c r="P19" i="10"/>
  <c r="Q18" i="10"/>
  <c r="P18" i="10"/>
  <c r="Q17" i="10"/>
  <c r="P17" i="10"/>
  <c r="Q16" i="10"/>
  <c r="P16" i="10"/>
  <c r="P14" i="10"/>
  <c r="P13" i="10"/>
  <c r="Q12" i="10"/>
  <c r="P12" i="10"/>
  <c r="P11" i="10"/>
  <c r="P10" i="10"/>
  <c r="S9" i="10"/>
  <c r="Q9" i="10"/>
  <c r="P9" i="10"/>
  <c r="P8" i="10"/>
  <c r="S7" i="10"/>
  <c r="R7" i="10"/>
  <c r="Q7" i="10"/>
  <c r="P7" i="10"/>
  <c r="S6" i="10"/>
  <c r="X6" i="10" s="1"/>
  <c r="R6" i="10"/>
  <c r="Q6" i="10"/>
  <c r="V6" i="10" s="1"/>
  <c r="P5" i="10"/>
  <c r="AL11" i="14"/>
  <c r="AL10" i="14"/>
  <c r="AL9" i="14"/>
  <c r="AL8" i="14"/>
  <c r="AL7" i="14"/>
  <c r="AL5" i="14"/>
  <c r="AD12" i="14"/>
  <c r="AD11" i="14"/>
  <c r="AD10" i="14"/>
  <c r="AD9" i="14"/>
  <c r="AD8" i="14"/>
  <c r="AD7" i="14"/>
  <c r="AD5" i="14"/>
  <c r="AK13" i="8"/>
  <c r="AK11" i="8"/>
  <c r="AK10" i="8"/>
  <c r="AK9" i="8"/>
  <c r="AK8" i="8"/>
  <c r="AC13" i="8"/>
  <c r="AC12" i="8"/>
  <c r="AC11" i="8"/>
  <c r="AC10" i="8"/>
  <c r="AC9" i="8"/>
  <c r="AC8" i="8"/>
  <c r="AI7" i="8"/>
  <c r="AH7" i="8"/>
  <c r="AE7" i="8"/>
  <c r="AD7" i="8"/>
  <c r="AC7" i="8"/>
  <c r="AE6" i="8"/>
  <c r="AD6" i="8"/>
  <c r="AC5" i="8"/>
  <c r="AL8" i="18"/>
  <c r="AL6" i="18"/>
  <c r="AD12" i="18"/>
  <c r="AD11" i="18"/>
  <c r="AD10" i="18"/>
  <c r="AD9" i="18"/>
  <c r="AF8" i="18"/>
  <c r="AD8" i="18"/>
  <c r="AD6" i="18"/>
  <c r="Y26" i="7"/>
  <c r="Y25" i="7"/>
  <c r="Y24" i="7"/>
  <c r="Y23" i="7"/>
  <c r="Y22" i="7"/>
  <c r="Y21" i="7"/>
  <c r="Y20" i="7"/>
  <c r="Y18" i="7"/>
  <c r="Y17" i="7"/>
  <c r="Y16" i="7"/>
  <c r="Y15" i="7"/>
  <c r="Y14" i="7"/>
  <c r="Y12" i="7"/>
  <c r="Y11" i="7"/>
  <c r="Y10" i="7"/>
  <c r="Y9" i="7"/>
  <c r="Y8" i="7"/>
  <c r="Y7" i="7"/>
  <c r="R26" i="7"/>
  <c r="R25" i="7"/>
  <c r="R24" i="7"/>
  <c r="R23" i="7"/>
  <c r="R22" i="7"/>
  <c r="R21" i="7"/>
  <c r="R20" i="7"/>
  <c r="R18" i="7"/>
  <c r="R17" i="7"/>
  <c r="R16" i="7"/>
  <c r="R15" i="7"/>
  <c r="R14" i="7"/>
  <c r="R12" i="7"/>
  <c r="R11" i="7"/>
  <c r="R10" i="7"/>
  <c r="R9" i="7"/>
  <c r="R8" i="7"/>
  <c r="S7" i="7"/>
  <c r="R7" i="7"/>
  <c r="AN34" i="6"/>
  <c r="AN33" i="6"/>
  <c r="AN32" i="6"/>
  <c r="AN31" i="6"/>
  <c r="AN30" i="6"/>
  <c r="AN28" i="6"/>
  <c r="AN27" i="6"/>
  <c r="AN25" i="6"/>
  <c r="AN24" i="6"/>
  <c r="AN22" i="6"/>
  <c r="AN21" i="6"/>
  <c r="AN20" i="6"/>
  <c r="AN19" i="6"/>
  <c r="AN18" i="6"/>
  <c r="AN16" i="6"/>
  <c r="AN14" i="6"/>
  <c r="AN13" i="6"/>
  <c r="AN11" i="6"/>
  <c r="AN10" i="6"/>
  <c r="AN9" i="6"/>
  <c r="AN8" i="6"/>
  <c r="AK8" i="6"/>
  <c r="B34" i="6"/>
  <c r="AD34" i="6" s="1"/>
  <c r="B33" i="6"/>
  <c r="AD33" i="6" s="1"/>
  <c r="B32" i="6"/>
  <c r="AD32" i="6" s="1"/>
  <c r="B31" i="6"/>
  <c r="AD31" i="6" s="1"/>
  <c r="B30" i="6"/>
  <c r="AD30" i="6" s="1"/>
  <c r="B28" i="6"/>
  <c r="AD28" i="6" s="1"/>
  <c r="B27" i="6"/>
  <c r="AD27" i="6" s="1"/>
  <c r="B25" i="6"/>
  <c r="AD25" i="6" s="1"/>
  <c r="B24" i="6"/>
  <c r="AD24" i="6" s="1"/>
  <c r="B22" i="6"/>
  <c r="AD22" i="6" s="1"/>
  <c r="B21" i="6"/>
  <c r="AD21" i="6" s="1"/>
  <c r="B20" i="6"/>
  <c r="AD20" i="6" s="1"/>
  <c r="B19" i="6"/>
  <c r="AD19" i="6" s="1"/>
  <c r="B18" i="6"/>
  <c r="AD18" i="6" s="1"/>
  <c r="B16" i="6"/>
  <c r="AD16" i="6" s="1"/>
  <c r="B15" i="6"/>
  <c r="AD15" i="6" s="1"/>
  <c r="B14" i="6"/>
  <c r="AD14" i="6" s="1"/>
  <c r="B13" i="6"/>
  <c r="AD13" i="6" s="1"/>
  <c r="B11" i="6"/>
  <c r="AD11" i="6" s="1"/>
  <c r="B10" i="6"/>
  <c r="AD10" i="6" s="1"/>
  <c r="C9" i="6"/>
  <c r="AE9" i="6" s="1"/>
  <c r="B9" i="6"/>
  <c r="AD9" i="6" s="1"/>
  <c r="C8" i="6"/>
  <c r="B8" i="6"/>
  <c r="BE12" i="4"/>
  <c r="BE11" i="4"/>
  <c r="BE10" i="4"/>
  <c r="BE9" i="4"/>
  <c r="BN43" i="4"/>
  <c r="BN42" i="4"/>
  <c r="BN41" i="4"/>
  <c r="BN40" i="4"/>
  <c r="BN39" i="4"/>
  <c r="BN38" i="4"/>
  <c r="BN36" i="4"/>
  <c r="BN35" i="4"/>
  <c r="BN34" i="4"/>
  <c r="BN33" i="4"/>
  <c r="BN32" i="4"/>
  <c r="BN31" i="4"/>
  <c r="BN30" i="4"/>
  <c r="BN29" i="4"/>
  <c r="BN27" i="4"/>
  <c r="BN26" i="4"/>
  <c r="BN25" i="4"/>
  <c r="BN23" i="4"/>
  <c r="BN22" i="4"/>
  <c r="BN21" i="4"/>
  <c r="BN20" i="4"/>
  <c r="BN18" i="4"/>
  <c r="BN17" i="4"/>
  <c r="BN16" i="4"/>
  <c r="BN15" i="4"/>
  <c r="BN14" i="4"/>
  <c r="BN13" i="4"/>
  <c r="BN12" i="4"/>
  <c r="BN11" i="4"/>
  <c r="BN10" i="4"/>
  <c r="BN9" i="4"/>
  <c r="BN8" i="4"/>
  <c r="C43" i="4"/>
  <c r="AK43" i="4" s="1"/>
  <c r="C42" i="4"/>
  <c r="AK42" i="4" s="1"/>
  <c r="C41" i="4"/>
  <c r="AK41" i="4" s="1"/>
  <c r="C40" i="4"/>
  <c r="AK40" i="4" s="1"/>
  <c r="C39" i="4"/>
  <c r="AK39" i="4" s="1"/>
  <c r="C38" i="4"/>
  <c r="AK38" i="4" s="1"/>
  <c r="C36" i="4"/>
  <c r="AK36" i="4" s="1"/>
  <c r="C35" i="4"/>
  <c r="AK35" i="4" s="1"/>
  <c r="C34" i="4"/>
  <c r="AK34" i="4" s="1"/>
  <c r="C33" i="4"/>
  <c r="AK33" i="4" s="1"/>
  <c r="C32" i="4"/>
  <c r="AK32" i="4" s="1"/>
  <c r="C31" i="4"/>
  <c r="AK31" i="4" s="1"/>
  <c r="C30" i="4"/>
  <c r="AK30" i="4" s="1"/>
  <c r="C29" i="4"/>
  <c r="AK29" i="4" s="1"/>
  <c r="C27" i="4"/>
  <c r="AK27" i="4" s="1"/>
  <c r="C26" i="4"/>
  <c r="AK26" i="4" s="1"/>
  <c r="C25" i="4"/>
  <c r="AK25" i="4" s="1"/>
  <c r="C23" i="4"/>
  <c r="AK23" i="4" s="1"/>
  <c r="C22" i="4"/>
  <c r="AK22" i="4" s="1"/>
  <c r="C21" i="4"/>
  <c r="AK21" i="4" s="1"/>
  <c r="C20" i="4"/>
  <c r="AK20" i="4" s="1"/>
  <c r="C18" i="4"/>
  <c r="AK18" i="4" s="1"/>
  <c r="C17" i="4"/>
  <c r="AK17" i="4" s="1"/>
  <c r="C16" i="4"/>
  <c r="AK16" i="4" s="1"/>
  <c r="C15" i="4"/>
  <c r="AK15" i="4" s="1"/>
  <c r="C14" i="4"/>
  <c r="AK14" i="4" s="1"/>
  <c r="C13" i="4"/>
  <c r="AK13" i="4" s="1"/>
  <c r="C12" i="4"/>
  <c r="AK12" i="4" s="1"/>
  <c r="C11" i="4"/>
  <c r="AK11" i="4" s="1"/>
  <c r="C10" i="4"/>
  <c r="AK10" i="4" s="1"/>
  <c r="C9" i="4"/>
  <c r="AK9" i="4" s="1"/>
  <c r="D8" i="4"/>
  <c r="C8" i="4"/>
  <c r="AP8" i="4"/>
  <c r="AP47" i="4" s="1"/>
  <c r="AO8" i="4"/>
  <c r="AO47" i="4" s="1"/>
  <c r="AP7" i="4"/>
  <c r="AP46" i="4" s="1"/>
  <c r="AO7" i="4"/>
  <c r="AO46" i="4" s="1"/>
  <c r="AP17" i="3"/>
  <c r="AP16" i="3"/>
  <c r="AP14" i="3"/>
  <c r="AP13" i="3"/>
  <c r="AP12" i="3"/>
  <c r="AP10" i="3"/>
  <c r="AP9" i="3"/>
  <c r="AP8" i="3"/>
  <c r="AD17" i="3"/>
  <c r="AD16" i="3"/>
  <c r="AD15" i="3"/>
  <c r="AD14" i="3"/>
  <c r="AD13" i="3"/>
  <c r="AD12" i="3"/>
  <c r="AD11" i="3"/>
  <c r="AD10" i="3"/>
  <c r="AD9" i="3"/>
  <c r="AD8" i="3"/>
  <c r="AE7" i="3"/>
  <c r="AD7" i="3"/>
  <c r="L66" i="28"/>
  <c r="L64" i="28"/>
  <c r="L63" i="28"/>
  <c r="L61" i="28"/>
  <c r="L60" i="28"/>
  <c r="L59" i="28"/>
  <c r="L58" i="28"/>
  <c r="L57" i="28"/>
  <c r="L56" i="28"/>
  <c r="L55" i="28"/>
  <c r="L53" i="28"/>
  <c r="L52" i="28"/>
  <c r="L50" i="28"/>
  <c r="L49" i="28"/>
  <c r="L48" i="28"/>
  <c r="L45" i="28"/>
  <c r="G66" i="28"/>
  <c r="F66" i="28"/>
  <c r="E66" i="28"/>
  <c r="D66" i="28"/>
  <c r="C66" i="28"/>
  <c r="B66" i="28"/>
  <c r="A66" i="28"/>
  <c r="G65" i="28"/>
  <c r="F65" i="28"/>
  <c r="E65" i="28"/>
  <c r="D65" i="28"/>
  <c r="C65" i="28"/>
  <c r="B65" i="28"/>
  <c r="G64" i="28"/>
  <c r="F64" i="28"/>
  <c r="E64" i="28"/>
  <c r="D64" i="28"/>
  <c r="C64" i="28"/>
  <c r="B64" i="28"/>
  <c r="G63" i="28"/>
  <c r="F63" i="28"/>
  <c r="E63" i="28"/>
  <c r="D63" i="28"/>
  <c r="C63" i="28"/>
  <c r="B63" i="28"/>
  <c r="G62" i="28"/>
  <c r="F62" i="28"/>
  <c r="G61" i="28"/>
  <c r="F61" i="28"/>
  <c r="E61" i="28"/>
  <c r="D61" i="28"/>
  <c r="C61" i="28"/>
  <c r="B61" i="28"/>
  <c r="A61" i="28"/>
  <c r="G60" i="28"/>
  <c r="F60" i="28"/>
  <c r="E60" i="28"/>
  <c r="D60" i="28"/>
  <c r="C60" i="28"/>
  <c r="B60" i="28"/>
  <c r="A60" i="28"/>
  <c r="G59" i="28"/>
  <c r="F59" i="28"/>
  <c r="E59" i="28"/>
  <c r="D59" i="28"/>
  <c r="C59" i="28"/>
  <c r="B59" i="28"/>
  <c r="A59" i="28"/>
  <c r="E58" i="28"/>
  <c r="D58" i="28"/>
  <c r="C58" i="28"/>
  <c r="B58" i="28"/>
  <c r="A58" i="28"/>
  <c r="G57" i="28"/>
  <c r="F57" i="28"/>
  <c r="E56" i="28"/>
  <c r="D56" i="28"/>
  <c r="C56" i="28"/>
  <c r="B56" i="28"/>
  <c r="A56" i="28"/>
  <c r="G55" i="28"/>
  <c r="F55" i="28"/>
  <c r="E55" i="28"/>
  <c r="D55" i="28"/>
  <c r="C55" i="28"/>
  <c r="B55" i="28"/>
  <c r="A55" i="28"/>
  <c r="G52" i="28"/>
  <c r="F52" i="28"/>
  <c r="E52" i="28"/>
  <c r="D52" i="28"/>
  <c r="C52" i="28"/>
  <c r="B52" i="28"/>
  <c r="G50" i="28"/>
  <c r="F50" i="28"/>
  <c r="E50" i="28"/>
  <c r="D50" i="28"/>
  <c r="C50" i="28"/>
  <c r="B50" i="28"/>
  <c r="A50" i="28"/>
  <c r="G49" i="28"/>
  <c r="F49" i="28"/>
  <c r="E49" i="28"/>
  <c r="D49" i="28"/>
  <c r="C49" i="28"/>
  <c r="B49" i="28"/>
  <c r="A49" i="28"/>
  <c r="G48" i="28"/>
  <c r="F48" i="28"/>
  <c r="E48" i="28"/>
  <c r="D48" i="28"/>
  <c r="C48" i="28"/>
  <c r="B48" i="28"/>
  <c r="A48" i="28"/>
  <c r="G45" i="28"/>
  <c r="F45" i="28"/>
  <c r="E45" i="28"/>
  <c r="D45" i="28"/>
  <c r="C45" i="28"/>
  <c r="B45" i="28"/>
  <c r="A45" i="28"/>
  <c r="G3" i="28"/>
  <c r="F3" i="28"/>
  <c r="E3" i="28"/>
  <c r="D3" i="28"/>
  <c r="C3" i="28"/>
  <c r="B3" i="28"/>
  <c r="F2" i="28"/>
  <c r="E2" i="28"/>
  <c r="D2" i="28"/>
  <c r="C2" i="28"/>
  <c r="B2" i="28"/>
  <c r="A1" i="28"/>
  <c r="M13" i="29"/>
  <c r="M12" i="29"/>
  <c r="M10" i="29"/>
  <c r="M9" i="29"/>
  <c r="M8" i="29"/>
  <c r="M6" i="29"/>
  <c r="M5" i="29"/>
  <c r="M4" i="29"/>
  <c r="G13" i="29"/>
  <c r="F13" i="29"/>
  <c r="E13" i="29"/>
  <c r="D13" i="29"/>
  <c r="C13" i="29"/>
  <c r="A13" i="29"/>
  <c r="G12" i="29"/>
  <c r="F12" i="29"/>
  <c r="E12" i="29"/>
  <c r="D12" i="29"/>
  <c r="C12" i="29"/>
  <c r="A12" i="29"/>
  <c r="G11" i="29"/>
  <c r="F11" i="29"/>
  <c r="E11" i="29"/>
  <c r="D11" i="29"/>
  <c r="C11" i="29"/>
  <c r="A11" i="29"/>
  <c r="A10" i="29"/>
  <c r="G9" i="29"/>
  <c r="F9" i="29"/>
  <c r="E9" i="29"/>
  <c r="D9" i="29"/>
  <c r="C9" i="29"/>
  <c r="A9" i="29"/>
  <c r="A8" i="29"/>
  <c r="G7" i="29"/>
  <c r="F7" i="29"/>
  <c r="E7" i="29"/>
  <c r="D7" i="29"/>
  <c r="C7" i="29"/>
  <c r="A7" i="29"/>
  <c r="G6" i="29"/>
  <c r="F6" i="29"/>
  <c r="E6" i="29"/>
  <c r="D6" i="29"/>
  <c r="C6" i="29"/>
  <c r="A6" i="29"/>
  <c r="A5" i="29"/>
  <c r="G4" i="29"/>
  <c r="F4" i="29"/>
  <c r="E4" i="29"/>
  <c r="D4" i="29"/>
  <c r="C4" i="29"/>
  <c r="A4" i="29"/>
  <c r="G3" i="29"/>
  <c r="F3" i="29"/>
  <c r="E3" i="29"/>
  <c r="D3" i="29"/>
  <c r="C3" i="29"/>
  <c r="B3" i="29"/>
  <c r="A3" i="29"/>
  <c r="F2" i="29"/>
  <c r="E2" i="29"/>
  <c r="D2" i="29"/>
  <c r="C2" i="29"/>
  <c r="M13" i="30"/>
  <c r="M12" i="30"/>
  <c r="M10" i="30"/>
  <c r="M9" i="30"/>
  <c r="M8" i="30"/>
  <c r="M6" i="30"/>
  <c r="M5" i="30"/>
  <c r="M4" i="30"/>
  <c r="G13" i="30"/>
  <c r="F13" i="30"/>
  <c r="E13" i="30"/>
  <c r="D13" i="30"/>
  <c r="C13" i="30"/>
  <c r="A13" i="30"/>
  <c r="G12" i="30"/>
  <c r="F12" i="30"/>
  <c r="E12" i="30"/>
  <c r="D12" i="30"/>
  <c r="C12" i="30"/>
  <c r="A12" i="30"/>
  <c r="G11" i="30"/>
  <c r="F11" i="30"/>
  <c r="E11" i="30"/>
  <c r="D11" i="30"/>
  <c r="C11" i="30"/>
  <c r="A11" i="30"/>
  <c r="A10" i="30"/>
  <c r="G9" i="30"/>
  <c r="F9" i="30"/>
  <c r="E9" i="30"/>
  <c r="D9" i="30"/>
  <c r="C9" i="30"/>
  <c r="A9" i="30"/>
  <c r="A8" i="30"/>
  <c r="G7" i="30"/>
  <c r="F7" i="30"/>
  <c r="E7" i="30"/>
  <c r="D7" i="30"/>
  <c r="C7" i="30"/>
  <c r="A7" i="30"/>
  <c r="G6" i="30"/>
  <c r="F6" i="30"/>
  <c r="E6" i="30"/>
  <c r="D6" i="30"/>
  <c r="C6" i="30"/>
  <c r="A6" i="30"/>
  <c r="A5" i="30"/>
  <c r="G4" i="30"/>
  <c r="F4" i="30"/>
  <c r="E4" i="30"/>
  <c r="D4" i="30"/>
  <c r="C4" i="30"/>
  <c r="A4" i="30"/>
  <c r="G3" i="30"/>
  <c r="F3" i="30"/>
  <c r="E3" i="30"/>
  <c r="D3" i="30"/>
  <c r="C3" i="30"/>
  <c r="B3" i="30"/>
  <c r="A3" i="30"/>
  <c r="F2" i="30"/>
  <c r="E2" i="30"/>
  <c r="D2" i="30"/>
  <c r="C2" i="30"/>
  <c r="CF41" i="27"/>
  <c r="CF40" i="27"/>
  <c r="CF39" i="27"/>
  <c r="CF38" i="27"/>
  <c r="CF37" i="27"/>
  <c r="CF36" i="27"/>
  <c r="CF35" i="27"/>
  <c r="CF34" i="27"/>
  <c r="CF32" i="27"/>
  <c r="CF30" i="27"/>
  <c r="CF28" i="27"/>
  <c r="CF27" i="27"/>
  <c r="CF25" i="27"/>
  <c r="CF24" i="27"/>
  <c r="CF23" i="27"/>
  <c r="CF22" i="27"/>
  <c r="CF21" i="27"/>
  <c r="CF19" i="27"/>
  <c r="CF18" i="27"/>
  <c r="CF17" i="27"/>
  <c r="CF16" i="27"/>
  <c r="CF13" i="27"/>
  <c r="CF12" i="27"/>
  <c r="P41" i="27"/>
  <c r="O41" i="27"/>
  <c r="N41" i="27"/>
  <c r="M41" i="27"/>
  <c r="L41" i="27"/>
  <c r="P40" i="27"/>
  <c r="O40" i="27"/>
  <c r="Y40" i="27" s="1"/>
  <c r="AE40" i="27" s="1"/>
  <c r="N40" i="27"/>
  <c r="M40" i="27"/>
  <c r="X40" i="27" s="1"/>
  <c r="AD40" i="27" s="1"/>
  <c r="L40" i="27"/>
  <c r="P39" i="27"/>
  <c r="HE218" i="26" s="1"/>
  <c r="O39" i="27"/>
  <c r="N39" i="27"/>
  <c r="HC218" i="26" s="1"/>
  <c r="M39" i="27"/>
  <c r="L39" i="27"/>
  <c r="HA218" i="26" s="1"/>
  <c r="P38" i="27"/>
  <c r="HE95" i="26" s="1"/>
  <c r="O38" i="27"/>
  <c r="N38" i="27"/>
  <c r="HC95" i="26" s="1"/>
  <c r="M38" i="27"/>
  <c r="L38" i="27"/>
  <c r="HA95" i="26" s="1"/>
  <c r="P37" i="27"/>
  <c r="O37" i="27"/>
  <c r="Y37" i="27" s="1"/>
  <c r="AE37" i="27" s="1"/>
  <c r="N37" i="27"/>
  <c r="M37" i="27"/>
  <c r="X37" i="27" s="1"/>
  <c r="AD37" i="27" s="1"/>
  <c r="L37" i="27"/>
  <c r="P36" i="27"/>
  <c r="O36" i="27"/>
  <c r="N36" i="27"/>
  <c r="M36" i="27"/>
  <c r="L36" i="27"/>
  <c r="P35" i="27"/>
  <c r="HE94" i="26" s="1"/>
  <c r="O35" i="27"/>
  <c r="N35" i="27"/>
  <c r="HC94" i="26" s="1"/>
  <c r="M35" i="27"/>
  <c r="L35" i="27"/>
  <c r="HA94" i="26" s="1"/>
  <c r="P32" i="27"/>
  <c r="O32" i="27"/>
  <c r="AK28" i="3" s="1"/>
  <c r="AK29" i="3" s="1"/>
  <c r="N32" i="27"/>
  <c r="M32" i="27"/>
  <c r="L32" i="27"/>
  <c r="P30" i="27"/>
  <c r="O30" i="27"/>
  <c r="Y30" i="27" s="1"/>
  <c r="AE30" i="27" s="1"/>
  <c r="N30" i="27"/>
  <c r="M30" i="27"/>
  <c r="X30" i="27" s="1"/>
  <c r="AD30" i="27" s="1"/>
  <c r="L30" i="27"/>
  <c r="P28" i="27"/>
  <c r="O28" i="27"/>
  <c r="N28" i="27"/>
  <c r="M28" i="27"/>
  <c r="L28" i="27"/>
  <c r="P25" i="27"/>
  <c r="O25" i="27"/>
  <c r="N25" i="27"/>
  <c r="M25" i="27"/>
  <c r="L25" i="27"/>
  <c r="P24" i="27"/>
  <c r="O24" i="27"/>
  <c r="Y24" i="27" s="1"/>
  <c r="AE24" i="27" s="1"/>
  <c r="N24" i="27"/>
  <c r="M24" i="27"/>
  <c r="X24" i="27" s="1"/>
  <c r="AD24" i="27" s="1"/>
  <c r="L24" i="27"/>
  <c r="P23" i="27"/>
  <c r="HE96" i="26" s="1"/>
  <c r="HJ151" i="26" s="1"/>
  <c r="O23" i="27"/>
  <c r="HD96" i="26" s="1"/>
  <c r="N23" i="27"/>
  <c r="HC96" i="26" s="1"/>
  <c r="M23" i="27"/>
  <c r="L23" i="27"/>
  <c r="HA96" i="26" s="1"/>
  <c r="P22" i="27"/>
  <c r="O22" i="27"/>
  <c r="Y22" i="27" s="1"/>
  <c r="AE22" i="27" s="1"/>
  <c r="N22" i="27"/>
  <c r="M22" i="27"/>
  <c r="X22" i="27" s="1"/>
  <c r="AD22" i="27" s="1"/>
  <c r="L22" i="27"/>
  <c r="P21" i="27"/>
  <c r="O21" i="27"/>
  <c r="Y21" i="27" s="1"/>
  <c r="AE21" i="27" s="1"/>
  <c r="N21" i="27"/>
  <c r="M21" i="27"/>
  <c r="X21" i="27" s="1"/>
  <c r="AD21" i="27" s="1"/>
  <c r="L21" i="27"/>
  <c r="P19" i="27"/>
  <c r="O19" i="27"/>
  <c r="Y19" i="27" s="1"/>
  <c r="AE19" i="27" s="1"/>
  <c r="N19" i="27"/>
  <c r="M19" i="27"/>
  <c r="X19" i="27" s="1"/>
  <c r="AD19" i="27" s="1"/>
  <c r="L19" i="27"/>
  <c r="P18" i="27"/>
  <c r="O18" i="27"/>
  <c r="Y18" i="27" s="1"/>
  <c r="AE18" i="27" s="1"/>
  <c r="N18" i="27"/>
  <c r="M18" i="27"/>
  <c r="X18" i="27" s="1"/>
  <c r="AD18" i="27" s="1"/>
  <c r="L18" i="27"/>
  <c r="P17" i="27"/>
  <c r="O17" i="27"/>
  <c r="Y17" i="27" s="1"/>
  <c r="AE17" i="27" s="1"/>
  <c r="N17" i="27"/>
  <c r="M17" i="27"/>
  <c r="X17" i="27" s="1"/>
  <c r="AD17" i="27" s="1"/>
  <c r="L17" i="27"/>
  <c r="P16" i="27"/>
  <c r="O16" i="27"/>
  <c r="Y16" i="27" s="1"/>
  <c r="AE16" i="27" s="1"/>
  <c r="N16" i="27"/>
  <c r="M16" i="27"/>
  <c r="X16" i="27" s="1"/>
  <c r="AD16" i="27" s="1"/>
  <c r="L16" i="27"/>
  <c r="P13" i="27"/>
  <c r="O13" i="27"/>
  <c r="N13" i="27"/>
  <c r="M13" i="27"/>
  <c r="L13" i="27"/>
  <c r="P12" i="27"/>
  <c r="AS87" i="27" s="1"/>
  <c r="AS91" i="27" s="1"/>
  <c r="O12" i="27"/>
  <c r="N12" i="27"/>
  <c r="AQ87" i="27" s="1"/>
  <c r="AQ91" i="27" s="1"/>
  <c r="M12" i="27"/>
  <c r="L12" i="27"/>
  <c r="AO87" i="27" s="1"/>
  <c r="AO91" i="27" s="1"/>
  <c r="S10" i="27"/>
  <c r="R10" i="27"/>
  <c r="Q10" i="27"/>
  <c r="AT10" i="27" s="1"/>
  <c r="BH10" i="27" s="1"/>
  <c r="BV10" i="27" s="1"/>
  <c r="P10" i="27"/>
  <c r="O10" i="27"/>
  <c r="AK27" i="3" s="1"/>
  <c r="N10" i="27"/>
  <c r="M10" i="27"/>
  <c r="L10" i="27"/>
  <c r="E41" i="27"/>
  <c r="E40" i="27"/>
  <c r="F39" i="27"/>
  <c r="E39" i="27"/>
  <c r="E38" i="27"/>
  <c r="E37" i="27"/>
  <c r="E36" i="27"/>
  <c r="E35" i="27"/>
  <c r="E34" i="27"/>
  <c r="E32" i="27"/>
  <c r="E30" i="27"/>
  <c r="E28" i="27"/>
  <c r="E27" i="27"/>
  <c r="E25" i="27"/>
  <c r="E24" i="27"/>
  <c r="E23" i="27"/>
  <c r="F22" i="27"/>
  <c r="E22" i="27"/>
  <c r="E21" i="27"/>
  <c r="E19" i="27"/>
  <c r="E18" i="27"/>
  <c r="E17" i="27"/>
  <c r="E16" i="27"/>
  <c r="E13" i="27"/>
  <c r="E12" i="27"/>
  <c r="E11" i="27"/>
  <c r="F10" i="27"/>
  <c r="E10" i="27"/>
  <c r="D56" i="26"/>
  <c r="H53" i="27"/>
  <c r="H29" i="27" s="1"/>
  <c r="D55" i="26"/>
  <c r="D54" i="26"/>
  <c r="D53" i="26"/>
  <c r="D52" i="26"/>
  <c r="D51" i="26"/>
  <c r="D50" i="26"/>
  <c r="D49" i="26"/>
  <c r="D48" i="26"/>
  <c r="D47" i="26"/>
  <c r="D46" i="26"/>
  <c r="D45" i="26"/>
  <c r="D44" i="26"/>
  <c r="D42" i="26"/>
  <c r="D39" i="26"/>
  <c r="D38" i="26"/>
  <c r="D37" i="26"/>
  <c r="D36" i="26"/>
  <c r="D33" i="26"/>
  <c r="D32" i="26"/>
  <c r="D30" i="26"/>
  <c r="D29" i="26"/>
  <c r="D28" i="26"/>
  <c r="E27" i="26"/>
  <c r="D27" i="26"/>
  <c r="D26" i="26"/>
  <c r="EK14" i="26"/>
  <c r="EK11" i="26"/>
  <c r="D19" i="26"/>
  <c r="D18" i="26"/>
  <c r="D17" i="26"/>
  <c r="D16" i="26"/>
  <c r="D15" i="26"/>
  <c r="D14" i="26"/>
  <c r="E13" i="26"/>
  <c r="D13" i="26"/>
  <c r="D12" i="26"/>
  <c r="E11" i="26"/>
  <c r="D11" i="26"/>
  <c r="BA11" i="26"/>
  <c r="HU74" i="26" s="1"/>
  <c r="AZ11" i="26"/>
  <c r="HT74" i="26" s="1"/>
  <c r="BA10" i="26"/>
  <c r="HU73" i="26" s="1"/>
  <c r="AZ10" i="26"/>
  <c r="HT73" i="26" s="1"/>
  <c r="E25" i="21"/>
  <c r="D25" i="21"/>
  <c r="E24" i="21"/>
  <c r="D24" i="21"/>
  <c r="D23" i="21"/>
  <c r="E22" i="21"/>
  <c r="D22" i="21"/>
  <c r="E19" i="21"/>
  <c r="D19" i="21"/>
  <c r="C19" i="21"/>
  <c r="B19" i="21"/>
  <c r="E18" i="21"/>
  <c r="D18" i="21"/>
  <c r="C18" i="21"/>
  <c r="B18" i="21"/>
  <c r="E17" i="21"/>
  <c r="D17" i="21"/>
  <c r="C17" i="21"/>
  <c r="B17" i="21"/>
  <c r="E16" i="21"/>
  <c r="D16" i="21"/>
  <c r="C16" i="21"/>
  <c r="B16" i="21"/>
  <c r="E15" i="21"/>
  <c r="D15" i="21"/>
  <c r="C15" i="21"/>
  <c r="B15" i="21"/>
  <c r="E11" i="21"/>
  <c r="D11" i="21"/>
  <c r="C11" i="21"/>
  <c r="B11" i="21"/>
  <c r="E10" i="21"/>
  <c r="D10" i="21"/>
  <c r="C10" i="21"/>
  <c r="B10" i="21"/>
  <c r="E9" i="21"/>
  <c r="D9" i="21"/>
  <c r="C9" i="21"/>
  <c r="B9" i="21"/>
  <c r="E8" i="21"/>
  <c r="D8" i="21"/>
  <c r="C8" i="21"/>
  <c r="B8" i="21"/>
  <c r="E7" i="21"/>
  <c r="D7" i="21"/>
  <c r="C7" i="21"/>
  <c r="B7" i="21"/>
  <c r="E4" i="21"/>
  <c r="D4" i="21"/>
  <c r="C4" i="21"/>
  <c r="B4" i="21"/>
  <c r="E3" i="21"/>
  <c r="D3" i="21"/>
  <c r="C3" i="21"/>
  <c r="B3" i="21"/>
  <c r="E2" i="21"/>
  <c r="D2" i="21"/>
  <c r="C2" i="21"/>
  <c r="B2" i="21"/>
  <c r="N42" i="45" l="1"/>
  <c r="N117" i="45" s="1"/>
  <c r="L42" i="45"/>
  <c r="L117" i="45" s="1"/>
  <c r="L91" i="45"/>
  <c r="L127" i="45" s="1"/>
  <c r="N91" i="45"/>
  <c r="N127" i="45" s="1"/>
  <c r="J52" i="45"/>
  <c r="HO96" i="26"/>
  <c r="H35" i="45" s="1"/>
  <c r="O35" i="45" s="1"/>
  <c r="HO151" i="26"/>
  <c r="HL151" i="26"/>
  <c r="GO27" i="26"/>
  <c r="HL55" i="26"/>
  <c r="ID55" i="26" s="1"/>
  <c r="HO55" i="26"/>
  <c r="IG55" i="26" s="1"/>
  <c r="HM55" i="26"/>
  <c r="IE55" i="26" s="1"/>
  <c r="HN55" i="26"/>
  <c r="IF55" i="26" s="1"/>
  <c r="AF21" i="8"/>
  <c r="EZ33" i="26"/>
  <c r="FY15" i="26" s="1"/>
  <c r="L8" i="45" s="1"/>
  <c r="L113" i="45" s="1"/>
  <c r="AD21" i="8"/>
  <c r="EX33" i="26"/>
  <c r="FW15" i="26" s="1"/>
  <c r="J8" i="45" s="1"/>
  <c r="J113" i="45" s="1"/>
  <c r="FC33" i="26"/>
  <c r="GB15" i="26" s="1"/>
  <c r="O8" i="45" s="1"/>
  <c r="O113" i="45" s="1"/>
  <c r="FA33" i="26"/>
  <c r="FZ15" i="26" s="1"/>
  <c r="M8" i="45" s="1"/>
  <c r="M113" i="45" s="1"/>
  <c r="AE21" i="8"/>
  <c r="EY33" i="26"/>
  <c r="FX15" i="26" s="1"/>
  <c r="K8" i="45" s="1"/>
  <c r="K113" i="45" s="1"/>
  <c r="FB33" i="26"/>
  <c r="GA15" i="26" s="1"/>
  <c r="N8" i="45" s="1"/>
  <c r="N113" i="45" s="1"/>
  <c r="T20" i="8"/>
  <c r="X20" i="8"/>
  <c r="T19" i="8"/>
  <c r="X19" i="8"/>
  <c r="T18" i="8"/>
  <c r="X18" i="8"/>
  <c r="J14" i="14"/>
  <c r="K14" i="14"/>
  <c r="I36" i="6"/>
  <c r="I15" i="8"/>
  <c r="F14" i="14"/>
  <c r="J15" i="8"/>
  <c r="G14" i="14"/>
  <c r="U12" i="14"/>
  <c r="U14" i="14" s="1"/>
  <c r="H14" i="14"/>
  <c r="L14" i="14"/>
  <c r="G36" i="6"/>
  <c r="P12" i="8"/>
  <c r="C15" i="8"/>
  <c r="H36" i="6"/>
  <c r="D15" i="8"/>
  <c r="E15" i="8"/>
  <c r="J36" i="6"/>
  <c r="F15" i="8"/>
  <c r="T12" i="8"/>
  <c r="G15" i="8"/>
  <c r="D14" i="14"/>
  <c r="H15" i="8"/>
  <c r="E14" i="14"/>
  <c r="AH21" i="8"/>
  <c r="AZ94" i="26"/>
  <c r="AG19" i="18"/>
  <c r="AF19" i="8"/>
  <c r="AG17" i="14"/>
  <c r="AZ95" i="26"/>
  <c r="AF20" i="8"/>
  <c r="AG18" i="14"/>
  <c r="AG20" i="18"/>
  <c r="BA95" i="26"/>
  <c r="AG20" i="8"/>
  <c r="AH18" i="14"/>
  <c r="AH20" i="18"/>
  <c r="AI21" i="8"/>
  <c r="AG21" i="8"/>
  <c r="BA94" i="26"/>
  <c r="AH19" i="18"/>
  <c r="AG19" i="8"/>
  <c r="AH17" i="14"/>
  <c r="Z28" i="6"/>
  <c r="L37" i="6"/>
  <c r="K37" i="6"/>
  <c r="K36" i="6"/>
  <c r="I47" i="27"/>
  <c r="F37" i="6"/>
  <c r="D37" i="6"/>
  <c r="D36" i="6"/>
  <c r="J47" i="27"/>
  <c r="G37" i="6"/>
  <c r="E36" i="6"/>
  <c r="Z31" i="6"/>
  <c r="L36" i="6"/>
  <c r="E37" i="6"/>
  <c r="O47" i="27"/>
  <c r="K47" i="27"/>
  <c r="H37" i="6"/>
  <c r="F36" i="6"/>
  <c r="I37" i="6"/>
  <c r="J37" i="6"/>
  <c r="L45" i="27"/>
  <c r="L49" i="27"/>
  <c r="M45" i="27"/>
  <c r="M49" i="27"/>
  <c r="N45" i="27"/>
  <c r="N49" i="27"/>
  <c r="L47" i="27"/>
  <c r="O49" i="27"/>
  <c r="O45" i="27"/>
  <c r="Y13" i="27"/>
  <c r="M47" i="27"/>
  <c r="P49" i="27"/>
  <c r="P45" i="27"/>
  <c r="N47" i="27"/>
  <c r="I45" i="27"/>
  <c r="I49" i="27"/>
  <c r="P47" i="27"/>
  <c r="J45" i="27"/>
  <c r="J49" i="27"/>
  <c r="K45" i="27"/>
  <c r="K49" i="27"/>
  <c r="GY111" i="26"/>
  <c r="GY20" i="26" s="1"/>
  <c r="X13" i="27"/>
  <c r="Y25" i="27"/>
  <c r="HB66" i="26"/>
  <c r="HK66" i="26" s="1"/>
  <c r="HD66" i="26"/>
  <c r="HO66" i="26" s="1"/>
  <c r="HD67" i="26"/>
  <c r="HD74" i="26" s="1"/>
  <c r="GX67" i="26"/>
  <c r="GX74" i="26" s="1"/>
  <c r="HE67" i="26"/>
  <c r="HE74" i="26" s="1"/>
  <c r="GY67" i="26"/>
  <c r="GY74" i="26" s="1"/>
  <c r="GZ67" i="26"/>
  <c r="GZ74" i="26" s="1"/>
  <c r="HA67" i="26"/>
  <c r="HA74" i="26" s="1"/>
  <c r="HB67" i="26"/>
  <c r="HM67" i="26" s="1"/>
  <c r="HC67" i="26"/>
  <c r="HC74" i="26" s="1"/>
  <c r="X25" i="27"/>
  <c r="DU21" i="26"/>
  <c r="J89" i="26"/>
  <c r="HM15" i="26"/>
  <c r="IE15" i="26" s="1"/>
  <c r="HO15" i="26"/>
  <c r="HN15" i="26"/>
  <c r="HF108" i="26"/>
  <c r="HA108" i="26"/>
  <c r="HB108" i="26"/>
  <c r="HE108" i="26"/>
  <c r="GX111" i="26"/>
  <c r="GX20" i="26" s="1"/>
  <c r="HG108" i="26"/>
  <c r="HG109" i="26" s="1"/>
  <c r="HG19" i="26" s="1"/>
  <c r="HC108" i="26"/>
  <c r="GZ261" i="26"/>
  <c r="GZ216" i="26" s="1"/>
  <c r="GZ66" i="26"/>
  <c r="GX259" i="26"/>
  <c r="GX211" i="26" s="1"/>
  <c r="HC259" i="26"/>
  <c r="HC211" i="26" s="1"/>
  <c r="GY259" i="26"/>
  <c r="GY211" i="26" s="1"/>
  <c r="HA261" i="26"/>
  <c r="HA216" i="26" s="1"/>
  <c r="HA66" i="26"/>
  <c r="HA259" i="26"/>
  <c r="HA211" i="26" s="1"/>
  <c r="HC261" i="26"/>
  <c r="HC216" i="26" s="1"/>
  <c r="HC66" i="26"/>
  <c r="HE261" i="26"/>
  <c r="HE216" i="26" s="1"/>
  <c r="HJ240" i="26" s="1"/>
  <c r="HE66" i="26"/>
  <c r="GZ259" i="26"/>
  <c r="GZ211" i="26" s="1"/>
  <c r="HE259" i="26"/>
  <c r="HE211" i="26" s="1"/>
  <c r="HJ254" i="26" s="1"/>
  <c r="GW261" i="26"/>
  <c r="GW216" i="26" s="1"/>
  <c r="GW66" i="26"/>
  <c r="GX261" i="26"/>
  <c r="GX216" i="26" s="1"/>
  <c r="GX66" i="26"/>
  <c r="GY261" i="26"/>
  <c r="GY216" i="26" s="1"/>
  <c r="GY66" i="26"/>
  <c r="HC111" i="26"/>
  <c r="HC20" i="26" s="1"/>
  <c r="GZ111" i="26"/>
  <c r="GZ20" i="26" s="1"/>
  <c r="HE111" i="26"/>
  <c r="HE20" i="26" s="1"/>
  <c r="HA111" i="26"/>
  <c r="HA20" i="26" s="1"/>
  <c r="HE97" i="26"/>
  <c r="AY8" i="4"/>
  <c r="HC97" i="26"/>
  <c r="AZ8" i="4"/>
  <c r="GZ97" i="26"/>
  <c r="Y35" i="27"/>
  <c r="AE35" i="27" s="1"/>
  <c r="HD94" i="26"/>
  <c r="HO94" i="26" s="1"/>
  <c r="X38" i="27"/>
  <c r="AD38" i="27" s="1"/>
  <c r="HB95" i="26"/>
  <c r="GX217" i="26"/>
  <c r="GX260" i="26"/>
  <c r="Y38" i="27"/>
  <c r="AE38" i="27" s="1"/>
  <c r="HD95" i="26"/>
  <c r="HO95" i="26" s="1"/>
  <c r="GZ217" i="26"/>
  <c r="GZ260" i="26"/>
  <c r="S9" i="8"/>
  <c r="W10" i="8"/>
  <c r="S12" i="8"/>
  <c r="W13" i="8"/>
  <c r="X36" i="27"/>
  <c r="AD36" i="27" s="1"/>
  <c r="HB260" i="26"/>
  <c r="HB217" i="26"/>
  <c r="HB96" i="26"/>
  <c r="HC260" i="26"/>
  <c r="HC217" i="26"/>
  <c r="X41" i="27"/>
  <c r="HB261" i="26"/>
  <c r="HA260" i="26"/>
  <c r="HA217" i="26"/>
  <c r="X32" i="27"/>
  <c r="HB259" i="26"/>
  <c r="HE260" i="26"/>
  <c r="HE217" i="26"/>
  <c r="HJ241" i="26" s="1"/>
  <c r="J30" i="45" s="1"/>
  <c r="X39" i="27"/>
  <c r="AD39" i="27" s="1"/>
  <c r="HB218" i="26"/>
  <c r="Y41" i="27"/>
  <c r="HD261" i="26"/>
  <c r="GY217" i="26"/>
  <c r="GY260" i="26"/>
  <c r="Y36" i="27"/>
  <c r="AE36" i="27" s="1"/>
  <c r="HD260" i="26"/>
  <c r="HO260" i="26" s="1"/>
  <c r="O68" i="45" s="1"/>
  <c r="HD217" i="26"/>
  <c r="Y32" i="27"/>
  <c r="AE32" i="27" s="1"/>
  <c r="HD259" i="26"/>
  <c r="HO259" i="26" s="1"/>
  <c r="O67" i="45" s="1"/>
  <c r="Y39" i="27"/>
  <c r="AE39" i="27" s="1"/>
  <c r="HD218" i="26"/>
  <c r="AY7" i="4"/>
  <c r="Y28" i="27"/>
  <c r="HA97" i="26"/>
  <c r="AZ7" i="4"/>
  <c r="GX97" i="26"/>
  <c r="X35" i="27"/>
  <c r="AD35" i="27" s="1"/>
  <c r="HB94" i="26"/>
  <c r="GY97" i="26"/>
  <c r="AP39" i="4"/>
  <c r="BS39" i="4" s="1"/>
  <c r="AP38" i="4"/>
  <c r="BS38" i="4" s="1"/>
  <c r="AP41" i="4"/>
  <c r="BS41" i="4" s="1"/>
  <c r="R9" i="8"/>
  <c r="V10" i="8"/>
  <c r="R12" i="8"/>
  <c r="V13" i="8"/>
  <c r="T9" i="14"/>
  <c r="W10" i="14"/>
  <c r="Q10" i="8"/>
  <c r="U11" i="8"/>
  <c r="Q13" i="8"/>
  <c r="V8" i="14"/>
  <c r="S11" i="14"/>
  <c r="Q9" i="8"/>
  <c r="U10" i="8"/>
  <c r="Q12" i="8"/>
  <c r="U13" i="8"/>
  <c r="AE13" i="8" s="1"/>
  <c r="AM13" i="8" s="1"/>
  <c r="BS40" i="4"/>
  <c r="Y9" i="14"/>
  <c r="Z9" i="14"/>
  <c r="W8" i="14"/>
  <c r="T11" i="14"/>
  <c r="X8" i="14"/>
  <c r="R10" i="14"/>
  <c r="Y12" i="14"/>
  <c r="Z12" i="14"/>
  <c r="S10" i="14"/>
  <c r="T10" i="14"/>
  <c r="R9" i="14"/>
  <c r="X11" i="14"/>
  <c r="S9" i="14"/>
  <c r="V10" i="14"/>
  <c r="AF10" i="14" s="1"/>
  <c r="Y11" i="14"/>
  <c r="Z11" i="14"/>
  <c r="Y8" i="14"/>
  <c r="Z8" i="14"/>
  <c r="AE8" i="14" s="1"/>
  <c r="AM8" i="14" s="1"/>
  <c r="W11" i="14"/>
  <c r="R8" i="14"/>
  <c r="X10" i="14"/>
  <c r="R12" i="14"/>
  <c r="S8" i="14"/>
  <c r="V9" i="14"/>
  <c r="AF9" i="14" s="1"/>
  <c r="Y10" i="14"/>
  <c r="Z10" i="14"/>
  <c r="S12" i="14"/>
  <c r="X12" i="14"/>
  <c r="V11" i="14"/>
  <c r="AF11" i="14" s="1"/>
  <c r="T8" i="14"/>
  <c r="W9" i="14"/>
  <c r="T12" i="14"/>
  <c r="X9" i="14"/>
  <c r="R11" i="14"/>
  <c r="W9" i="8"/>
  <c r="S11" i="8"/>
  <c r="W12" i="8"/>
  <c r="U9" i="8"/>
  <c r="Q11" i="8"/>
  <c r="U12" i="8"/>
  <c r="V9" i="8"/>
  <c r="R11" i="8"/>
  <c r="V12" i="8"/>
  <c r="R10" i="8"/>
  <c r="V11" i="8"/>
  <c r="R13" i="8"/>
  <c r="S10" i="8"/>
  <c r="W11" i="8"/>
  <c r="S13" i="8"/>
  <c r="AR87" i="27"/>
  <c r="AR91" i="27" s="1"/>
  <c r="Y12" i="27"/>
  <c r="AE12" i="27" s="1"/>
  <c r="Y23" i="27"/>
  <c r="X12" i="27"/>
  <c r="AD12" i="27" s="1"/>
  <c r="AP87" i="27"/>
  <c r="AP91" i="27" s="1"/>
  <c r="X23" i="27"/>
  <c r="IF17" i="26"/>
  <c r="X8" i="8"/>
  <c r="Y8" i="8"/>
  <c r="X28" i="27"/>
  <c r="AY17" i="26"/>
  <c r="AT25" i="27"/>
  <c r="AT48" i="27" s="1"/>
  <c r="BZ19" i="27"/>
  <c r="BH19" i="27"/>
  <c r="AT145" i="27"/>
  <c r="AT148" i="27"/>
  <c r="AX12" i="26"/>
  <c r="CK12" i="26"/>
  <c r="DL12" i="26" s="1"/>
  <c r="P14" i="27"/>
  <c r="P76" i="27" s="1"/>
  <c r="AM21" i="22"/>
  <c r="AM27" i="22" s="1"/>
  <c r="N9" i="45" l="1"/>
  <c r="K9" i="45"/>
  <c r="M9" i="45"/>
  <c r="O9" i="45"/>
  <c r="L9" i="45"/>
  <c r="HJ242" i="26"/>
  <c r="J29" i="45"/>
  <c r="J32" i="45" s="1"/>
  <c r="J126" i="45" s="1"/>
  <c r="HO241" i="26"/>
  <c r="O30" i="45" s="1"/>
  <c r="HL241" i="26"/>
  <c r="L30" i="45" s="1"/>
  <c r="HM241" i="26"/>
  <c r="M30" i="45" s="1"/>
  <c r="HK241" i="26"/>
  <c r="K30" i="45" s="1"/>
  <c r="HN241" i="26"/>
  <c r="N30" i="45" s="1"/>
  <c r="J54" i="45"/>
  <c r="J121" i="45" s="1"/>
  <c r="HM74" i="26"/>
  <c r="M100" i="45"/>
  <c r="FC44" i="26"/>
  <c r="GB29" i="26" s="1"/>
  <c r="O58" i="45"/>
  <c r="O120" i="45" s="1"/>
  <c r="HJ255" i="26"/>
  <c r="J23" i="45"/>
  <c r="EY44" i="26"/>
  <c r="FX29" i="26" s="1"/>
  <c r="GN29" i="26" s="1"/>
  <c r="K58" i="45"/>
  <c r="K120" i="45" s="1"/>
  <c r="H40" i="45"/>
  <c r="H36" i="45"/>
  <c r="O36" i="45" s="1"/>
  <c r="H41" i="45"/>
  <c r="O41" i="45" s="1"/>
  <c r="O46" i="45" s="1"/>
  <c r="HM151" i="26"/>
  <c r="HK151" i="26"/>
  <c r="HN151" i="26"/>
  <c r="HO97" i="26"/>
  <c r="HK95" i="26"/>
  <c r="HM95" i="26"/>
  <c r="HM94" i="26"/>
  <c r="F40" i="45" s="1"/>
  <c r="HK94" i="26"/>
  <c r="GQ15" i="26"/>
  <c r="GN15" i="26"/>
  <c r="GM15" i="26"/>
  <c r="HK96" i="26"/>
  <c r="HM96" i="26"/>
  <c r="P46" i="27"/>
  <c r="P48" i="27"/>
  <c r="HK108" i="26"/>
  <c r="D47" i="45" s="1"/>
  <c r="K47" i="45" s="1"/>
  <c r="HM108" i="26"/>
  <c r="F47" i="45" s="1"/>
  <c r="M47" i="45" s="1"/>
  <c r="HN108" i="26"/>
  <c r="HL108" i="26"/>
  <c r="HJ363" i="26"/>
  <c r="Z36" i="6"/>
  <c r="GP15" i="26"/>
  <c r="GR15" i="26"/>
  <c r="GO15" i="26"/>
  <c r="FH32" i="26"/>
  <c r="FK32" i="26"/>
  <c r="FI32" i="26"/>
  <c r="FJ32" i="26"/>
  <c r="FL32" i="26"/>
  <c r="FG32" i="26"/>
  <c r="X15" i="8"/>
  <c r="W18" i="8"/>
  <c r="AA18" i="8"/>
  <c r="V21" i="8"/>
  <c r="Z21" i="8"/>
  <c r="V18" i="8"/>
  <c r="Z18" i="8"/>
  <c r="U21" i="8"/>
  <c r="Y21" i="8"/>
  <c r="AE11" i="8"/>
  <c r="AM11" i="8" s="1"/>
  <c r="U20" i="8"/>
  <c r="Y20" i="8"/>
  <c r="W19" i="8"/>
  <c r="AA19" i="8"/>
  <c r="AE9" i="8"/>
  <c r="AM9" i="8" s="1"/>
  <c r="U18" i="8"/>
  <c r="Y18" i="8"/>
  <c r="W21" i="8"/>
  <c r="AA21" i="8"/>
  <c r="W20" i="8"/>
  <c r="AA20" i="8"/>
  <c r="V19" i="8"/>
  <c r="Z19" i="8"/>
  <c r="V20" i="8"/>
  <c r="Z20" i="8"/>
  <c r="AE10" i="8"/>
  <c r="AM10" i="8" s="1"/>
  <c r="U19" i="8"/>
  <c r="Y19" i="8"/>
  <c r="T21" i="8"/>
  <c r="X21" i="8"/>
  <c r="T14" i="14"/>
  <c r="Z14" i="14"/>
  <c r="Y14" i="14"/>
  <c r="AD8" i="8"/>
  <c r="Y15" i="8"/>
  <c r="R14" i="14"/>
  <c r="AE12" i="8"/>
  <c r="X14" i="14"/>
  <c r="S14" i="14"/>
  <c r="FA42" i="26"/>
  <c r="IZ12" i="26"/>
  <c r="JG12" i="26" s="1"/>
  <c r="AE21" i="18"/>
  <c r="AE23" i="18" s="1"/>
  <c r="AD32" i="27"/>
  <c r="AG28" i="3"/>
  <c r="AF28" i="6"/>
  <c r="Z37" i="6"/>
  <c r="Y49" i="27"/>
  <c r="Y45" i="27"/>
  <c r="AE13" i="27"/>
  <c r="X45" i="27"/>
  <c r="X49" i="27"/>
  <c r="Y47" i="27"/>
  <c r="X47" i="27"/>
  <c r="HO67" i="26"/>
  <c r="O100" i="45" s="1"/>
  <c r="AE28" i="27"/>
  <c r="AE47" i="27" s="1"/>
  <c r="AE41" i="27"/>
  <c r="AE25" i="27"/>
  <c r="AD28" i="27"/>
  <c r="AD41" i="27"/>
  <c r="AD25" i="27"/>
  <c r="AD13" i="27"/>
  <c r="GY68" i="26"/>
  <c r="HB74" i="26"/>
  <c r="HB68" i="26"/>
  <c r="HA68" i="26"/>
  <c r="HD68" i="26"/>
  <c r="HM66" i="26"/>
  <c r="M58" i="45" s="1"/>
  <c r="M120" i="45" s="1"/>
  <c r="GZ68" i="26"/>
  <c r="HE68" i="26"/>
  <c r="HK67" i="26"/>
  <c r="K100" i="45" s="1"/>
  <c r="HC68" i="26"/>
  <c r="GX68" i="26"/>
  <c r="AH13" i="8"/>
  <c r="AP13" i="8" s="1"/>
  <c r="AH10" i="8"/>
  <c r="AP10" i="8" s="1"/>
  <c r="HA254" i="26"/>
  <c r="HA363" i="26" s="1"/>
  <c r="HF109" i="26"/>
  <c r="HJ108" i="26"/>
  <c r="C47" i="45" s="1"/>
  <c r="HC254" i="26"/>
  <c r="HC363" i="26" s="1"/>
  <c r="HD216" i="26"/>
  <c r="HO261" i="26"/>
  <c r="HM260" i="26"/>
  <c r="M68" i="45" s="1"/>
  <c r="HK260" i="26"/>
  <c r="K68" i="45" s="1"/>
  <c r="HB216" i="26"/>
  <c r="HK261" i="26"/>
  <c r="K69" i="45" s="1"/>
  <c r="HM261" i="26"/>
  <c r="M69" i="45" s="1"/>
  <c r="IE67" i="26"/>
  <c r="HM259" i="26"/>
  <c r="M67" i="45" s="1"/>
  <c r="HK259" i="26"/>
  <c r="K67" i="45" s="1"/>
  <c r="HA109" i="26"/>
  <c r="HA19" i="26" s="1"/>
  <c r="HE109" i="26"/>
  <c r="HE19" i="26" s="1"/>
  <c r="HC109" i="26"/>
  <c r="HC19" i="26" s="1"/>
  <c r="GX210" i="26"/>
  <c r="GX212" i="26" s="1"/>
  <c r="GX69" i="26" s="1"/>
  <c r="GX117" i="26"/>
  <c r="HE117" i="26"/>
  <c r="HE210" i="26"/>
  <c r="HE212" i="26" s="1"/>
  <c r="HE69" i="26" s="1"/>
  <c r="GY117" i="26"/>
  <c r="GY210" i="26"/>
  <c r="GY212" i="26" s="1"/>
  <c r="GY69" i="26" s="1"/>
  <c r="GZ117" i="26"/>
  <c r="GZ210" i="26"/>
  <c r="GZ212" i="26" s="1"/>
  <c r="GZ69" i="26" s="1"/>
  <c r="HA117" i="26"/>
  <c r="HA210" i="26"/>
  <c r="HA212" i="26" s="1"/>
  <c r="HA69" i="26" s="1"/>
  <c r="HC117" i="26"/>
  <c r="HC210" i="26"/>
  <c r="HC212" i="26" s="1"/>
  <c r="HC69" i="26" s="1"/>
  <c r="GX219" i="26"/>
  <c r="HE219" i="26"/>
  <c r="HJ233" i="26" s="1"/>
  <c r="HA219" i="26"/>
  <c r="HA262" i="26"/>
  <c r="HA71" i="26" s="1"/>
  <c r="HC219" i="26"/>
  <c r="GZ219" i="26"/>
  <c r="GX262" i="26"/>
  <c r="GX71" i="26" s="1"/>
  <c r="GY219" i="26"/>
  <c r="GY262" i="26"/>
  <c r="GY71" i="26" s="1"/>
  <c r="HD211" i="26"/>
  <c r="HO254" i="26" s="1"/>
  <c r="O23" i="45" s="1"/>
  <c r="HB211" i="26"/>
  <c r="HK254" i="26" s="1"/>
  <c r="K23" i="45" s="1"/>
  <c r="HD111" i="26"/>
  <c r="HD20" i="26" s="1"/>
  <c r="HO20" i="26" s="1"/>
  <c r="HB111" i="26"/>
  <c r="HB20" i="26" s="1"/>
  <c r="HA18" i="26"/>
  <c r="HC18" i="26"/>
  <c r="GX18" i="26"/>
  <c r="HE18" i="26"/>
  <c r="GZ18" i="26"/>
  <c r="GY18" i="26"/>
  <c r="HE262" i="26"/>
  <c r="HE71" i="26" s="1"/>
  <c r="GZ262" i="26"/>
  <c r="GZ71" i="26" s="1"/>
  <c r="HC262" i="26"/>
  <c r="HC71" i="26" s="1"/>
  <c r="AE23" i="27"/>
  <c r="AR49" i="4"/>
  <c r="AR50" i="4" s="1"/>
  <c r="HB262" i="26"/>
  <c r="HB71" i="26" s="1"/>
  <c r="AG11" i="8"/>
  <c r="AO11" i="8" s="1"/>
  <c r="HB97" i="26"/>
  <c r="HB109" i="26" s="1"/>
  <c r="HM109" i="26" s="1"/>
  <c r="FA14" i="26" s="1"/>
  <c r="AD23" i="27"/>
  <c r="AN49" i="4"/>
  <c r="AN50" i="4" s="1"/>
  <c r="HD262" i="26"/>
  <c r="HD71" i="26" s="1"/>
  <c r="HD97" i="26"/>
  <c r="HD109" i="26" s="1"/>
  <c r="IB14" i="26"/>
  <c r="AG8" i="14"/>
  <c r="AO8" i="14" s="1"/>
  <c r="AG12" i="14"/>
  <c r="AI13" i="8"/>
  <c r="AQ13" i="8" s="1"/>
  <c r="AJ11" i="14"/>
  <c r="AG13" i="8"/>
  <c r="AO13" i="8" s="1"/>
  <c r="AH11" i="14"/>
  <c r="AG11" i="14"/>
  <c r="AJ10" i="14"/>
  <c r="AE9" i="14"/>
  <c r="AM9" i="14" s="1"/>
  <c r="AE10" i="14"/>
  <c r="AM10" i="14" s="1"/>
  <c r="AG10" i="14"/>
  <c r="AG9" i="14"/>
  <c r="AH12" i="8"/>
  <c r="AH10" i="14"/>
  <c r="AE12" i="14"/>
  <c r="AH9" i="8"/>
  <c r="AP9" i="8" s="1"/>
  <c r="AI9" i="14"/>
  <c r="AI11" i="14"/>
  <c r="AJ9" i="14"/>
  <c r="AH9" i="14"/>
  <c r="AI10" i="8"/>
  <c r="AQ10" i="8" s="1"/>
  <c r="AI10" i="14"/>
  <c r="AG10" i="8"/>
  <c r="AO10" i="8" s="1"/>
  <c r="AE11" i="14"/>
  <c r="AM11" i="14" s="1"/>
  <c r="AI12" i="8"/>
  <c r="AG12" i="8"/>
  <c r="AI9" i="8"/>
  <c r="AQ9" i="8" s="1"/>
  <c r="AG9" i="8"/>
  <c r="AO9" i="8" s="1"/>
  <c r="AH11" i="8"/>
  <c r="AP11" i="8" s="1"/>
  <c r="AI11" i="8"/>
  <c r="AQ11" i="8" s="1"/>
  <c r="AF8" i="8"/>
  <c r="HJ12" i="26"/>
  <c r="IB12" i="26" s="1"/>
  <c r="AT149" i="27"/>
  <c r="AT151" i="27" s="1"/>
  <c r="AT36" i="27"/>
  <c r="BH25" i="27"/>
  <c r="BH48" i="27" s="1"/>
  <c r="BZ25" i="27"/>
  <c r="BZ48" i="27" s="1"/>
  <c r="AT147" i="27"/>
  <c r="AT30" i="27" s="1"/>
  <c r="AT146" i="27"/>
  <c r="EA12" i="26"/>
  <c r="P18" i="33"/>
  <c r="P36" i="33" s="1"/>
  <c r="P12" i="33" s="1"/>
  <c r="BC11" i="33"/>
  <c r="BC10" i="33"/>
  <c r="BC8" i="33"/>
  <c r="BD11" i="33"/>
  <c r="BD8" i="33"/>
  <c r="BE11" i="33"/>
  <c r="BE8" i="33"/>
  <c r="BF11" i="33"/>
  <c r="BF8" i="33"/>
  <c r="BL8" i="33"/>
  <c r="BM8" i="33"/>
  <c r="BN8" i="33"/>
  <c r="BL10" i="33"/>
  <c r="BM10" i="33"/>
  <c r="BN10" i="33"/>
  <c r="BL11" i="33"/>
  <c r="BM11" i="33"/>
  <c r="BN11" i="33"/>
  <c r="AD11" i="33"/>
  <c r="AE11" i="33"/>
  <c r="AF11" i="33"/>
  <c r="AG11" i="33"/>
  <c r="AH11" i="33"/>
  <c r="AI11" i="33"/>
  <c r="AJ11" i="33"/>
  <c r="AK11" i="33"/>
  <c r="AL11" i="33"/>
  <c r="AM11" i="33"/>
  <c r="AN11" i="33"/>
  <c r="AG10" i="33"/>
  <c r="AK10" i="33"/>
  <c r="AL10" i="33"/>
  <c r="AM10" i="33"/>
  <c r="AN10" i="33"/>
  <c r="AL8" i="33"/>
  <c r="AM8" i="33"/>
  <c r="AN8" i="33"/>
  <c r="AL17" i="33"/>
  <c r="AM17" i="33"/>
  <c r="AN17" i="33"/>
  <c r="R12" i="33"/>
  <c r="S12" i="33"/>
  <c r="Q13" i="33"/>
  <c r="Y13" i="33" s="1"/>
  <c r="R13" i="33"/>
  <c r="S13" i="33"/>
  <c r="R14" i="33"/>
  <c r="S14" i="33"/>
  <c r="R15" i="33"/>
  <c r="S15" i="33"/>
  <c r="R11" i="33"/>
  <c r="S11" i="33"/>
  <c r="Q11" i="33"/>
  <c r="Q10" i="33"/>
  <c r="Y10" i="33" s="1"/>
  <c r="R10" i="33"/>
  <c r="Z10" i="33" s="1"/>
  <c r="S10" i="33"/>
  <c r="AA10" i="33" s="1"/>
  <c r="FL43" i="26" l="1"/>
  <c r="HD219" i="26"/>
  <c r="HO240" i="26"/>
  <c r="HL240" i="26"/>
  <c r="HB219" i="26"/>
  <c r="HN233" i="26" s="1"/>
  <c r="HM240" i="26"/>
  <c r="HK240" i="26"/>
  <c r="HN240" i="26"/>
  <c r="HJ243" i="26"/>
  <c r="J31" i="45"/>
  <c r="HK233" i="26"/>
  <c r="HK281" i="26" s="1"/>
  <c r="HK282" i="26" s="1"/>
  <c r="H45" i="45"/>
  <c r="H51" i="45" s="1"/>
  <c r="O40" i="45"/>
  <c r="O45" i="45" s="1"/>
  <c r="O48" i="45" s="1"/>
  <c r="O118" i="45" s="1"/>
  <c r="FH43" i="26"/>
  <c r="O52" i="45"/>
  <c r="F45" i="45"/>
  <c r="F51" i="45" s="1"/>
  <c r="M40" i="45"/>
  <c r="M45" i="45" s="1"/>
  <c r="C48" i="45"/>
  <c r="C118" i="45" s="1"/>
  <c r="J47" i="45"/>
  <c r="J48" i="45" s="1"/>
  <c r="J118" i="45" s="1"/>
  <c r="K70" i="45"/>
  <c r="K122" i="45" s="1"/>
  <c r="HJ234" i="26"/>
  <c r="HJ281" i="26"/>
  <c r="HO262" i="26"/>
  <c r="HO71" i="26" s="1"/>
  <c r="O69" i="45"/>
  <c r="O70" i="45" s="1"/>
  <c r="O122" i="45" s="1"/>
  <c r="HJ63" i="26"/>
  <c r="J24" i="45"/>
  <c r="J125" i="45" s="1"/>
  <c r="M70" i="45"/>
  <c r="M122" i="45" s="1"/>
  <c r="D40" i="45"/>
  <c r="G47" i="45"/>
  <c r="HL109" i="26"/>
  <c r="EZ14" i="26" s="1"/>
  <c r="FR30" i="26" s="1"/>
  <c r="GH30" i="26" s="1"/>
  <c r="HJ109" i="26"/>
  <c r="HJ19" i="26" s="1"/>
  <c r="E47" i="45"/>
  <c r="H42" i="45"/>
  <c r="H117" i="45" s="1"/>
  <c r="H46" i="45"/>
  <c r="H52" i="45" s="1"/>
  <c r="GR29" i="26"/>
  <c r="HK97" i="26"/>
  <c r="HM97" i="26"/>
  <c r="F35" i="45"/>
  <c r="M35" i="45" s="1"/>
  <c r="D35" i="45"/>
  <c r="K35" i="45" s="1"/>
  <c r="FS30" i="26"/>
  <c r="GI30" i="26" s="1"/>
  <c r="FZ30" i="26"/>
  <c r="GP30" i="26" s="1"/>
  <c r="HK255" i="26"/>
  <c r="K24" i="45" s="1"/>
  <c r="K125" i="45" s="1"/>
  <c r="HK363" i="26"/>
  <c r="HO255" i="26"/>
  <c r="HO363" i="26"/>
  <c r="HJ365" i="26"/>
  <c r="HJ366" i="26"/>
  <c r="HJ367" i="26"/>
  <c r="FJ41" i="26"/>
  <c r="FZ26" i="26"/>
  <c r="HC365" i="26"/>
  <c r="HC367" i="26"/>
  <c r="HC366" i="26"/>
  <c r="HA365" i="26"/>
  <c r="HA367" i="26"/>
  <c r="HA366" i="26"/>
  <c r="JB12" i="26"/>
  <c r="JA12" i="26" s="1"/>
  <c r="HJ22" i="26"/>
  <c r="IB22" i="26" s="1"/>
  <c r="HJ59" i="26"/>
  <c r="EY42" i="26"/>
  <c r="FX26" i="26" s="1"/>
  <c r="HK74" i="26"/>
  <c r="AD47" i="27"/>
  <c r="AO12" i="8"/>
  <c r="AG14" i="14"/>
  <c r="AG21" i="14"/>
  <c r="AQ12" i="8"/>
  <c r="AP12" i="8"/>
  <c r="AL8" i="8"/>
  <c r="AL15" i="8" s="1"/>
  <c r="AD15" i="8"/>
  <c r="AD22" i="8"/>
  <c r="AM12" i="14"/>
  <c r="AM14" i="14" s="1"/>
  <c r="AE14" i="14"/>
  <c r="AN8" i="8"/>
  <c r="AN15" i="8" s="1"/>
  <c r="AF15" i="8"/>
  <c r="AF22" i="8"/>
  <c r="AM12" i="8"/>
  <c r="IE66" i="26"/>
  <c r="FA44" i="26"/>
  <c r="FC42" i="26"/>
  <c r="GB26" i="26" s="1"/>
  <c r="IE74" i="26"/>
  <c r="FA43" i="26"/>
  <c r="HN109" i="26"/>
  <c r="HF19" i="26"/>
  <c r="AF31" i="6"/>
  <c r="AF37" i="6"/>
  <c r="AG29" i="3"/>
  <c r="AI29" i="3"/>
  <c r="HO74" i="26"/>
  <c r="FC43" i="26" s="1"/>
  <c r="GB27" i="26" s="1"/>
  <c r="AD49" i="27"/>
  <c r="AD45" i="27"/>
  <c r="AE49" i="27"/>
  <c r="AE45" i="27"/>
  <c r="HO233" i="26"/>
  <c r="Z12" i="33"/>
  <c r="AZ12" i="33"/>
  <c r="BZ12" i="33" s="1"/>
  <c r="Z13" i="33"/>
  <c r="AZ13" i="33"/>
  <c r="BZ13" i="33" s="1"/>
  <c r="Z15" i="33"/>
  <c r="AZ15" i="33"/>
  <c r="BZ15" i="33" s="1"/>
  <c r="AA14" i="33"/>
  <c r="BA14" i="33"/>
  <c r="CA14" i="33" s="1"/>
  <c r="Z14" i="33"/>
  <c r="AZ14" i="33"/>
  <c r="BZ14" i="33" s="1"/>
  <c r="AA12" i="33"/>
  <c r="BA12" i="33"/>
  <c r="CA12" i="33" s="1"/>
  <c r="AA15" i="33"/>
  <c r="BA15" i="33"/>
  <c r="CA15" i="33" s="1"/>
  <c r="AX12" i="33"/>
  <c r="AA13" i="33"/>
  <c r="BA13" i="33"/>
  <c r="CA13" i="33" s="1"/>
  <c r="HB254" i="26"/>
  <c r="HN254" i="26"/>
  <c r="N23" i="45" s="1"/>
  <c r="HD19" i="26"/>
  <c r="HO109" i="26"/>
  <c r="HB19" i="26"/>
  <c r="HK109" i="26"/>
  <c r="HO211" i="26"/>
  <c r="HG254" i="26"/>
  <c r="HG363" i="26" s="1"/>
  <c r="HH254" i="26"/>
  <c r="HH363" i="26" s="1"/>
  <c r="HD254" i="26"/>
  <c r="HD363" i="26" s="1"/>
  <c r="HF254" i="26"/>
  <c r="HE254" i="26"/>
  <c r="HE363" i="26" s="1"/>
  <c r="HK262" i="26"/>
  <c r="HK71" i="26" s="1"/>
  <c r="HM262" i="26"/>
  <c r="HM71" i="26" s="1"/>
  <c r="IE71" i="26" s="1"/>
  <c r="HM20" i="26"/>
  <c r="IE20" i="26" s="1"/>
  <c r="HK20" i="26"/>
  <c r="HM211" i="26"/>
  <c r="HK211" i="26"/>
  <c r="Y15" i="33"/>
  <c r="AY15" i="33"/>
  <c r="HC255" i="26"/>
  <c r="HC63" i="26" s="1"/>
  <c r="HA255" i="26"/>
  <c r="HA63" i="26" s="1"/>
  <c r="HC233" i="26"/>
  <c r="GZ281" i="26"/>
  <c r="GZ282" i="26" s="1"/>
  <c r="GZ70" i="26" s="1"/>
  <c r="HD117" i="26"/>
  <c r="HO117" i="26" s="1"/>
  <c r="HD210" i="26"/>
  <c r="HB117" i="26"/>
  <c r="HB210" i="26"/>
  <c r="HD233" i="26"/>
  <c r="HA233" i="26"/>
  <c r="GY281" i="26"/>
  <c r="GY282" i="26" s="1"/>
  <c r="GY70" i="26" s="1"/>
  <c r="HF233" i="26"/>
  <c r="HG233" i="26"/>
  <c r="HH233" i="26"/>
  <c r="HE233" i="26"/>
  <c r="HD18" i="26"/>
  <c r="HO18" i="26" s="1"/>
  <c r="HB18" i="26"/>
  <c r="HF124" i="26"/>
  <c r="HF167" i="26"/>
  <c r="AP49" i="4"/>
  <c r="AP50" i="4" s="1"/>
  <c r="AT28" i="27"/>
  <c r="AT150" i="27"/>
  <c r="BH36" i="27"/>
  <c r="BZ36" i="27"/>
  <c r="AT37" i="27"/>
  <c r="BH30" i="27"/>
  <c r="BZ30" i="27"/>
  <c r="AY14" i="33"/>
  <c r="AY13" i="33"/>
  <c r="S16" i="33"/>
  <c r="R16" i="33"/>
  <c r="Q16" i="33"/>
  <c r="HB233" i="26" l="1"/>
  <c r="HM233" i="26" s="1"/>
  <c r="O42" i="45"/>
  <c r="O117" i="45" s="1"/>
  <c r="K22" i="45"/>
  <c r="J22" i="45"/>
  <c r="HK242" i="26"/>
  <c r="K29" i="45"/>
  <c r="K32" i="45" s="1"/>
  <c r="K126" i="45" s="1"/>
  <c r="HM242" i="26"/>
  <c r="M29" i="45"/>
  <c r="M32" i="45" s="1"/>
  <c r="M126" i="45" s="1"/>
  <c r="HL242" i="26"/>
  <c r="L29" i="45"/>
  <c r="L32" i="45" s="1"/>
  <c r="L126" i="45" s="1"/>
  <c r="HN242" i="26"/>
  <c r="N29" i="45"/>
  <c r="N32" i="45" s="1"/>
  <c r="N126" i="45" s="1"/>
  <c r="HO242" i="26"/>
  <c r="O29" i="45"/>
  <c r="O32" i="45" s="1"/>
  <c r="O126" i="45" s="1"/>
  <c r="HL233" i="26"/>
  <c r="HL281" i="26" s="1"/>
  <c r="HK234" i="26"/>
  <c r="K63" i="45"/>
  <c r="K64" i="45" s="1"/>
  <c r="K124" i="45" s="1"/>
  <c r="O51" i="45"/>
  <c r="HN234" i="26"/>
  <c r="HN64" i="26" s="1"/>
  <c r="HN281" i="26"/>
  <c r="FY30" i="26"/>
  <c r="GO30" i="26" s="1"/>
  <c r="G48" i="45"/>
  <c r="G118" i="45" s="1"/>
  <c r="N47" i="45"/>
  <c r="N48" i="45" s="1"/>
  <c r="N118" i="45" s="1"/>
  <c r="D45" i="45"/>
  <c r="D51" i="45" s="1"/>
  <c r="K40" i="45"/>
  <c r="K45" i="45" s="1"/>
  <c r="M51" i="45"/>
  <c r="HK68" i="26"/>
  <c r="K57" i="45"/>
  <c r="K119" i="45" s="1"/>
  <c r="K88" i="45"/>
  <c r="K53" i="45"/>
  <c r="HM68" i="26"/>
  <c r="IE68" i="26" s="1"/>
  <c r="M88" i="45"/>
  <c r="M53" i="45"/>
  <c r="M57" i="45"/>
  <c r="M119" i="45" s="1"/>
  <c r="J63" i="45"/>
  <c r="J64" i="45" s="1"/>
  <c r="J124" i="45" s="1"/>
  <c r="HJ282" i="26"/>
  <c r="HO68" i="26"/>
  <c r="O88" i="45"/>
  <c r="O53" i="45"/>
  <c r="O57" i="45"/>
  <c r="O119" i="45" s="1"/>
  <c r="HO234" i="26"/>
  <c r="HO64" i="26" s="1"/>
  <c r="HO281" i="26"/>
  <c r="HO63" i="26"/>
  <c r="FC39" i="26" s="1"/>
  <c r="GB24" i="26" s="1"/>
  <c r="GR24" i="26" s="1"/>
  <c r="O24" i="45"/>
  <c r="O125" i="45" s="1"/>
  <c r="E48" i="45"/>
  <c r="E118" i="45" s="1"/>
  <c r="L47" i="45"/>
  <c r="L48" i="45" s="1"/>
  <c r="L118" i="45" s="1"/>
  <c r="F41" i="45"/>
  <c r="M41" i="45" s="1"/>
  <c r="M46" i="45" s="1"/>
  <c r="F36" i="45"/>
  <c r="M36" i="45" s="1"/>
  <c r="D41" i="45"/>
  <c r="K41" i="45" s="1"/>
  <c r="K46" i="45" s="1"/>
  <c r="D36" i="45"/>
  <c r="K36" i="45" s="1"/>
  <c r="H48" i="45"/>
  <c r="H118" i="45" s="1"/>
  <c r="GR26" i="26"/>
  <c r="GN26" i="26"/>
  <c r="GR27" i="26"/>
  <c r="GP26" i="26"/>
  <c r="CA16" i="33"/>
  <c r="HK19" i="26"/>
  <c r="EY14" i="26"/>
  <c r="HN19" i="26"/>
  <c r="FB14" i="26"/>
  <c r="EX14" i="26"/>
  <c r="HO19" i="26"/>
  <c r="FC14" i="26"/>
  <c r="HO365" i="26"/>
  <c r="HO366" i="26"/>
  <c r="HO367" i="26"/>
  <c r="HF363" i="26"/>
  <c r="HF367" i="26" s="1"/>
  <c r="HL254" i="26"/>
  <c r="HN255" i="26"/>
  <c r="HN363" i="26"/>
  <c r="HB363" i="26"/>
  <c r="HB367" i="26" s="1"/>
  <c r="HM254" i="26"/>
  <c r="HK365" i="26"/>
  <c r="HK366" i="26"/>
  <c r="HK367" i="26"/>
  <c r="BZ16" i="33"/>
  <c r="FJ42" i="26"/>
  <c r="FZ27" i="26"/>
  <c r="FJ43" i="26"/>
  <c r="FZ29" i="26"/>
  <c r="FL41" i="26"/>
  <c r="FL42" i="26"/>
  <c r="FH41" i="26"/>
  <c r="HD365" i="26"/>
  <c r="HD367" i="26"/>
  <c r="HD366" i="26"/>
  <c r="HH365" i="26"/>
  <c r="HH367" i="26"/>
  <c r="HH366" i="26"/>
  <c r="HM281" i="26"/>
  <c r="HE365" i="26"/>
  <c r="HE367" i="26"/>
  <c r="HE366" i="26"/>
  <c r="HG365" i="26"/>
  <c r="HG367" i="26"/>
  <c r="HG366" i="26"/>
  <c r="HF255" i="26"/>
  <c r="HL255" i="26" s="1"/>
  <c r="L24" i="45" s="1"/>
  <c r="L125" i="45" s="1"/>
  <c r="IC74" i="26"/>
  <c r="EY43" i="26"/>
  <c r="FX27" i="26" s="1"/>
  <c r="AF36" i="6"/>
  <c r="AF34" i="6"/>
  <c r="HF41" i="26"/>
  <c r="HN41" i="26" s="1"/>
  <c r="G100" i="45" s="1"/>
  <c r="Z16" i="33"/>
  <c r="BY13" i="33"/>
  <c r="AY16" i="33"/>
  <c r="BZ23" i="26"/>
  <c r="CT23" i="26" s="1"/>
  <c r="BY14" i="33"/>
  <c r="AZ16" i="33"/>
  <c r="BA16" i="33"/>
  <c r="AA16" i="33"/>
  <c r="BZ24" i="26"/>
  <c r="CT24" i="26" s="1"/>
  <c r="BY15" i="33"/>
  <c r="HB255" i="26"/>
  <c r="HE255" i="26"/>
  <c r="HE63" i="26" s="1"/>
  <c r="HG255" i="26"/>
  <c r="HG63" i="26" s="1"/>
  <c r="HD255" i="26"/>
  <c r="HD63" i="26" s="1"/>
  <c r="HH255" i="26"/>
  <c r="HH63" i="26" s="1"/>
  <c r="HM19" i="26"/>
  <c r="IE19" i="26" s="1"/>
  <c r="HL167" i="26"/>
  <c r="E68" i="45" s="1"/>
  <c r="HN167" i="26"/>
  <c r="G68" i="45" s="1"/>
  <c r="HJ167" i="26"/>
  <c r="C68" i="45" s="1"/>
  <c r="HB212" i="26"/>
  <c r="HB69" i="26" s="1"/>
  <c r="HM210" i="26"/>
  <c r="HM212" i="26" s="1"/>
  <c r="HM69" i="26" s="1"/>
  <c r="IE69" i="26" s="1"/>
  <c r="HK210" i="26"/>
  <c r="HK212" i="26" s="1"/>
  <c r="HK69" i="26" s="1"/>
  <c r="HM117" i="26"/>
  <c r="HK117" i="26"/>
  <c r="HM18" i="26"/>
  <c r="IE18" i="26" s="1"/>
  <c r="HK18" i="26"/>
  <c r="HD212" i="26"/>
  <c r="HD69" i="26" s="1"/>
  <c r="HO210" i="26"/>
  <c r="HO212" i="26" s="1"/>
  <c r="HO69" i="26" s="1"/>
  <c r="HG281" i="26"/>
  <c r="HG282" i="26" s="1"/>
  <c r="HG70" i="26" s="1"/>
  <c r="HG234" i="26"/>
  <c r="HG64" i="26" s="1"/>
  <c r="HF281" i="26"/>
  <c r="HF234" i="26"/>
  <c r="HL234" i="26" s="1"/>
  <c r="HH281" i="26"/>
  <c r="HH282" i="26" s="1"/>
  <c r="HH70" i="26" s="1"/>
  <c r="HH234" i="26"/>
  <c r="HH64" i="26" s="1"/>
  <c r="HC281" i="26"/>
  <c r="HC282" i="26" s="1"/>
  <c r="HC70" i="26" s="1"/>
  <c r="HC234" i="26"/>
  <c r="HC64" i="26" s="1"/>
  <c r="HA281" i="26"/>
  <c r="HA282" i="26" s="1"/>
  <c r="HA70" i="26" s="1"/>
  <c r="HA234" i="26"/>
  <c r="HA64" i="26" s="1"/>
  <c r="HD281" i="26"/>
  <c r="HD234" i="26"/>
  <c r="HD64" i="26" s="1"/>
  <c r="HB281" i="26"/>
  <c r="HB234" i="26"/>
  <c r="HM234" i="26" s="1"/>
  <c r="HE234" i="26"/>
  <c r="HE64" i="26" s="1"/>
  <c r="HE281" i="26"/>
  <c r="HE282" i="26" s="1"/>
  <c r="HE70" i="26" s="1"/>
  <c r="BZ22" i="26"/>
  <c r="CT22" i="26" s="1"/>
  <c r="Y16" i="33"/>
  <c r="AT62" i="27"/>
  <c r="AT32" i="27"/>
  <c r="HF118" i="26" s="1"/>
  <c r="AT63" i="27"/>
  <c r="BZ28" i="27"/>
  <c r="BH28" i="27"/>
  <c r="BH37" i="27"/>
  <c r="BZ37" i="27"/>
  <c r="L63" i="45" l="1"/>
  <c r="L64" i="45" s="1"/>
  <c r="L124" i="45" s="1"/>
  <c r="HL282" i="26"/>
  <c r="M59" i="45"/>
  <c r="O59" i="45"/>
  <c r="K59" i="45"/>
  <c r="O22" i="45"/>
  <c r="HN243" i="26"/>
  <c r="N31" i="45"/>
  <c r="L31" i="45"/>
  <c r="HL243" i="26"/>
  <c r="HO243" i="26"/>
  <c r="O31" i="45"/>
  <c r="M31" i="45"/>
  <c r="HM243" i="26"/>
  <c r="HK243" i="26"/>
  <c r="K31" i="45"/>
  <c r="O54" i="45"/>
  <c r="O121" i="45" s="1"/>
  <c r="M52" i="45"/>
  <c r="M54" i="45" s="1"/>
  <c r="M121" i="45" s="1"/>
  <c r="K52" i="45"/>
  <c r="M48" i="45"/>
  <c r="M118" i="45" s="1"/>
  <c r="HM363" i="26"/>
  <c r="HM365" i="26" s="1"/>
  <c r="M23" i="45"/>
  <c r="O89" i="45"/>
  <c r="K89" i="45"/>
  <c r="HN63" i="26"/>
  <c r="FB39" i="26" s="1"/>
  <c r="GA24" i="26" s="1"/>
  <c r="GQ24" i="26" s="1"/>
  <c r="N24" i="45"/>
  <c r="N125" i="45" s="1"/>
  <c r="K51" i="45"/>
  <c r="K48" i="45"/>
  <c r="K118" i="45" s="1"/>
  <c r="M63" i="45"/>
  <c r="M64" i="45" s="1"/>
  <c r="M124" i="45" s="1"/>
  <c r="HM282" i="26"/>
  <c r="FL38" i="26"/>
  <c r="M89" i="45"/>
  <c r="N63" i="45"/>
  <c r="N64" i="45" s="1"/>
  <c r="N124" i="45" s="1"/>
  <c r="HN282" i="26"/>
  <c r="HN70" i="26" s="1"/>
  <c r="HL363" i="26"/>
  <c r="HL366" i="26" s="1"/>
  <c r="L23" i="45"/>
  <c r="L22" i="45" s="1"/>
  <c r="O63" i="45"/>
  <c r="O64" i="45" s="1"/>
  <c r="O124" i="45" s="1"/>
  <c r="HO282" i="26"/>
  <c r="F46" i="45"/>
  <c r="F52" i="45" s="1"/>
  <c r="F42" i="45"/>
  <c r="F117" i="45" s="1"/>
  <c r="D46" i="45"/>
  <c r="D52" i="45" s="1"/>
  <c r="D42" i="45"/>
  <c r="D117" i="45" s="1"/>
  <c r="GP29" i="26"/>
  <c r="GP27" i="26"/>
  <c r="GN27" i="26"/>
  <c r="HF365" i="26"/>
  <c r="GB30" i="26"/>
  <c r="GR30" i="26" s="1"/>
  <c r="FU30" i="26"/>
  <c r="GK30" i="26" s="1"/>
  <c r="FP30" i="26"/>
  <c r="GF30" i="26" s="1"/>
  <c r="FW30" i="26"/>
  <c r="GM30" i="26" s="1"/>
  <c r="FX30" i="26"/>
  <c r="GN30" i="26" s="1"/>
  <c r="FQ30" i="26"/>
  <c r="GG30" i="26" s="1"/>
  <c r="GA30" i="26"/>
  <c r="GQ30" i="26" s="1"/>
  <c r="FT30" i="26"/>
  <c r="GJ30" i="26" s="1"/>
  <c r="HF366" i="26"/>
  <c r="HB365" i="26"/>
  <c r="HM366" i="26"/>
  <c r="HN365" i="26"/>
  <c r="HN367" i="26"/>
  <c r="HN366" i="26"/>
  <c r="HB366" i="26"/>
  <c r="FH42" i="26"/>
  <c r="HK63" i="26"/>
  <c r="EY39" i="26" s="1"/>
  <c r="FX24" i="26" s="1"/>
  <c r="HM255" i="26"/>
  <c r="DU24" i="26"/>
  <c r="DU23" i="26"/>
  <c r="HN48" i="26"/>
  <c r="FB28" i="26" s="1"/>
  <c r="FT27" i="26" s="1"/>
  <c r="FB27" i="26"/>
  <c r="FT26" i="26" s="1"/>
  <c r="HL19" i="26"/>
  <c r="ID19" i="26" s="1"/>
  <c r="AT47" i="27"/>
  <c r="HF48" i="26"/>
  <c r="HL41" i="26"/>
  <c r="E100" i="45" s="1"/>
  <c r="HJ41" i="26"/>
  <c r="BH62" i="27"/>
  <c r="HB63" i="26"/>
  <c r="DU22" i="26"/>
  <c r="CT20" i="26"/>
  <c r="HF29" i="26" s="1"/>
  <c r="HJ29" i="26" s="1"/>
  <c r="IB29" i="26" s="1"/>
  <c r="BZ20" i="26"/>
  <c r="EX18" i="26" s="1"/>
  <c r="FG17" i="26" s="1"/>
  <c r="BY16" i="33"/>
  <c r="HF64" i="26"/>
  <c r="HJ64" i="26"/>
  <c r="HB64" i="26"/>
  <c r="HF63" i="26"/>
  <c r="HL63" i="26"/>
  <c r="HD282" i="26"/>
  <c r="HB282" i="26"/>
  <c r="HF282" i="26"/>
  <c r="HJ70" i="26" s="1"/>
  <c r="AT64" i="27"/>
  <c r="BZ32" i="27"/>
  <c r="BZ47" i="27" s="1"/>
  <c r="BH32" i="27"/>
  <c r="BH47" i="27" s="1"/>
  <c r="BH63" i="27"/>
  <c r="EA90" i="26" s="1"/>
  <c r="EC90" i="26" s="1"/>
  <c r="EE90" i="26" s="1"/>
  <c r="HF166" i="26"/>
  <c r="AT41" i="27"/>
  <c r="EA89" i="26"/>
  <c r="K42" i="45" l="1"/>
  <c r="K117" i="45" s="1"/>
  <c r="M42" i="45"/>
  <c r="M117" i="45" s="1"/>
  <c r="N22" i="45"/>
  <c r="HL365" i="26"/>
  <c r="K91" i="45"/>
  <c r="K127" i="45" s="1"/>
  <c r="O91" i="45"/>
  <c r="O127" i="45" s="1"/>
  <c r="M91" i="45"/>
  <c r="M127" i="45" s="1"/>
  <c r="K54" i="45"/>
  <c r="K121" i="45" s="1"/>
  <c r="HM367" i="26"/>
  <c r="HL367" i="26"/>
  <c r="FK38" i="26"/>
  <c r="HM63" i="26"/>
  <c r="IE63" i="26" s="1"/>
  <c r="M24" i="45"/>
  <c r="M125" i="45" s="1"/>
  <c r="F48" i="45"/>
  <c r="F118" i="45" s="1"/>
  <c r="D48" i="45"/>
  <c r="D118" i="45" s="1"/>
  <c r="C100" i="45"/>
  <c r="HJ48" i="26"/>
  <c r="IB48" i="26" s="1"/>
  <c r="GJ26" i="26"/>
  <c r="GJ27" i="26"/>
  <c r="GN24" i="26"/>
  <c r="FK26" i="26"/>
  <c r="FK27" i="26"/>
  <c r="FH38" i="26"/>
  <c r="FP15" i="26"/>
  <c r="DU20" i="26"/>
  <c r="ID63" i="26"/>
  <c r="EZ39" i="26"/>
  <c r="HL48" i="26"/>
  <c r="EZ27" i="26"/>
  <c r="AT45" i="27"/>
  <c r="AT49" i="27"/>
  <c r="ID41" i="26"/>
  <c r="IB41" i="26"/>
  <c r="HM64" i="26"/>
  <c r="IE64" i="26" s="1"/>
  <c r="HK64" i="26"/>
  <c r="HL64" i="26"/>
  <c r="ID64" i="26" s="1"/>
  <c r="HD70" i="26"/>
  <c r="HO70" i="26"/>
  <c r="HL70" i="26"/>
  <c r="ID70" i="26" s="1"/>
  <c r="HM70" i="26"/>
  <c r="IE70" i="26" s="1"/>
  <c r="HK70" i="26"/>
  <c r="HF119" i="26"/>
  <c r="HF43" i="26" s="1"/>
  <c r="HN118" i="26"/>
  <c r="HL118" i="26"/>
  <c r="HJ118" i="26"/>
  <c r="HN166" i="26"/>
  <c r="G67" i="45" s="1"/>
  <c r="HL166" i="26"/>
  <c r="E67" i="45" s="1"/>
  <c r="HJ166" i="26"/>
  <c r="C67" i="45" s="1"/>
  <c r="HF70" i="26"/>
  <c r="HB70" i="26"/>
  <c r="BH64" i="27"/>
  <c r="HF168" i="26"/>
  <c r="HF40" i="26"/>
  <c r="HF123" i="26"/>
  <c r="BH41" i="27"/>
  <c r="BZ41" i="27"/>
  <c r="EC89" i="26"/>
  <c r="EA91" i="26"/>
  <c r="FA39" i="26" l="1"/>
  <c r="M22" i="45"/>
  <c r="G88" i="45"/>
  <c r="G89" i="45" s="1"/>
  <c r="G53" i="45"/>
  <c r="G54" i="45" s="1"/>
  <c r="G121" i="45" s="1"/>
  <c r="G57" i="45"/>
  <c r="G119" i="45" s="1"/>
  <c r="E88" i="45"/>
  <c r="E89" i="45" s="1"/>
  <c r="E53" i="45"/>
  <c r="E54" i="45" s="1"/>
  <c r="E121" i="45" s="1"/>
  <c r="E57" i="45"/>
  <c r="E119" i="45" s="1"/>
  <c r="GF15" i="26"/>
  <c r="C8" i="45"/>
  <c r="C113" i="45" s="1"/>
  <c r="C88" i="45"/>
  <c r="C53" i="45"/>
  <c r="C54" i="45" s="1"/>
  <c r="C121" i="45" s="1"/>
  <c r="C57" i="45"/>
  <c r="C119" i="45" s="1"/>
  <c r="FI26" i="26"/>
  <c r="FR26" i="26"/>
  <c r="FI38" i="26"/>
  <c r="FY24" i="26"/>
  <c r="FJ38" i="26"/>
  <c r="FZ24" i="26"/>
  <c r="HN119" i="26"/>
  <c r="HN43" i="26" s="1"/>
  <c r="HJ119" i="26"/>
  <c r="HJ43" i="26" s="1"/>
  <c r="IB43" i="26" s="1"/>
  <c r="HL119" i="26"/>
  <c r="HL43" i="26" s="1"/>
  <c r="ID43" i="26" s="1"/>
  <c r="ID48" i="26"/>
  <c r="EZ28" i="26"/>
  <c r="BH45" i="27"/>
  <c r="BH49" i="27"/>
  <c r="BH80" i="27"/>
  <c r="BH81" i="27" s="1"/>
  <c r="BZ49" i="27"/>
  <c r="BZ45" i="27"/>
  <c r="HF42" i="26"/>
  <c r="HN40" i="26"/>
  <c r="G58" i="45" s="1"/>
  <c r="G120" i="45" s="1"/>
  <c r="HJ40" i="26"/>
  <c r="C58" i="45" s="1"/>
  <c r="C120" i="45" s="1"/>
  <c r="HL40" i="26"/>
  <c r="E58" i="45" s="1"/>
  <c r="E120" i="45" s="1"/>
  <c r="HN168" i="26"/>
  <c r="HL168" i="26"/>
  <c r="HJ168" i="26"/>
  <c r="HF169" i="26"/>
  <c r="HF45" i="26" s="1"/>
  <c r="HF126" i="26"/>
  <c r="EE89" i="26"/>
  <c r="EC91" i="26"/>
  <c r="M13" i="36"/>
  <c r="K11" i="36"/>
  <c r="J11" i="36"/>
  <c r="M14" i="36" s="1"/>
  <c r="A5" i="36"/>
  <c r="C59" i="45" l="1"/>
  <c r="HJ42" i="26"/>
  <c r="G59" i="45"/>
  <c r="E59" i="45"/>
  <c r="C89" i="45"/>
  <c r="C91" i="45" s="1"/>
  <c r="C127" i="45" s="1"/>
  <c r="GO24" i="26"/>
  <c r="G91" i="45"/>
  <c r="G127" i="45" s="1"/>
  <c r="GH26" i="26"/>
  <c r="EZ29" i="26"/>
  <c r="FI28" i="26" s="1"/>
  <c r="GP24" i="26"/>
  <c r="E91" i="45"/>
  <c r="E127" i="45" s="1"/>
  <c r="HN42" i="26"/>
  <c r="HJ169" i="26"/>
  <c r="HJ45" i="26" s="1"/>
  <c r="C69" i="45"/>
  <c r="C70" i="45" s="1"/>
  <c r="C122" i="45" s="1"/>
  <c r="HL169" i="26"/>
  <c r="HL45" i="26" s="1"/>
  <c r="ID45" i="26" s="1"/>
  <c r="E69" i="45"/>
  <c r="E70" i="45" s="1"/>
  <c r="E122" i="45" s="1"/>
  <c r="HN169" i="26"/>
  <c r="HN45" i="26" s="1"/>
  <c r="G69" i="45"/>
  <c r="G70" i="45" s="1"/>
  <c r="G122" i="45" s="1"/>
  <c r="IB42" i="26"/>
  <c r="FI27" i="26"/>
  <c r="FR27" i="26"/>
  <c r="HL42" i="26"/>
  <c r="ID42" i="26" s="1"/>
  <c r="FB29" i="26"/>
  <c r="FT29" i="26" s="1"/>
  <c r="ID40" i="26"/>
  <c r="IB40" i="26"/>
  <c r="EE91" i="26"/>
  <c r="FR29" i="26" l="1"/>
  <c r="GH29" i="26" s="1"/>
  <c r="GJ29" i="26"/>
  <c r="GH27" i="26"/>
  <c r="FK28" i="26"/>
  <c r="BH11" i="26"/>
  <c r="BG11" i="26"/>
  <c r="BE25" i="26"/>
  <c r="BE24" i="26"/>
  <c r="BE23" i="26"/>
  <c r="BE22" i="26"/>
  <c r="BE21" i="26"/>
  <c r="BE20" i="26"/>
  <c r="AV20" i="26"/>
  <c r="AA14" i="27"/>
  <c r="AA15" i="27"/>
  <c r="AA29" i="27"/>
  <c r="AA31" i="27"/>
  <c r="BT10" i="33"/>
  <c r="BX10" i="33"/>
  <c r="BQ11" i="33"/>
  <c r="BR11" i="33"/>
  <c r="BS11" i="33"/>
  <c r="BT11" i="33"/>
  <c r="BU11" i="33"/>
  <c r="BV11" i="33"/>
  <c r="BW11" i="33"/>
  <c r="BX11" i="33"/>
  <c r="BP11" i="33"/>
  <c r="BP10" i="33"/>
  <c r="AA11" i="27"/>
  <c r="FL30" i="26"/>
  <c r="FL15" i="26"/>
  <c r="FK30" i="26"/>
  <c r="FL39" i="26"/>
  <c r="P25" i="33" l="1"/>
  <c r="P26" i="33"/>
  <c r="M34" i="33"/>
  <c r="N34" i="33"/>
  <c r="O34" i="33"/>
  <c r="P34" i="33"/>
  <c r="O26" i="33"/>
  <c r="O25" i="33"/>
  <c r="N28" i="33"/>
  <c r="M28" i="33"/>
  <c r="P19" i="33"/>
  <c r="P21" i="33"/>
  <c r="P39" i="33" s="1"/>
  <c r="P15" i="33" s="1"/>
  <c r="AX15" i="33" s="1"/>
  <c r="M19" i="33"/>
  <c r="M37" i="33" s="1"/>
  <c r="M13" i="33" s="1"/>
  <c r="N19" i="33"/>
  <c r="N37" i="33" s="1"/>
  <c r="O19" i="33"/>
  <c r="M20" i="33"/>
  <c r="M38" i="33" s="1"/>
  <c r="M14" i="33" s="1"/>
  <c r="N20" i="33"/>
  <c r="N38" i="33" s="1"/>
  <c r="O20" i="33"/>
  <c r="M21" i="33"/>
  <c r="M39" i="33" s="1"/>
  <c r="M15" i="33" s="1"/>
  <c r="N21" i="33"/>
  <c r="N39" i="33" s="1"/>
  <c r="O21" i="33"/>
  <c r="O39" i="33" s="1"/>
  <c r="N18" i="33"/>
  <c r="N36" i="33" s="1"/>
  <c r="O18" i="33"/>
  <c r="O36" i="33" s="1"/>
  <c r="M18" i="33"/>
  <c r="M36" i="33" s="1"/>
  <c r="M12" i="33" s="1"/>
  <c r="C25" i="33"/>
  <c r="C37" i="33" s="1"/>
  <c r="C26" i="33"/>
  <c r="C38" i="33" s="1"/>
  <c r="C27" i="33"/>
  <c r="C39" i="33" s="1"/>
  <c r="C28" i="33"/>
  <c r="C40" i="33" s="1"/>
  <c r="C24" i="33"/>
  <c r="C36" i="33" s="1"/>
  <c r="H14" i="33"/>
  <c r="O38" i="33" l="1"/>
  <c r="O50" i="33" s="1"/>
  <c r="P37" i="33"/>
  <c r="P20" i="33"/>
  <c r="O28" i="33"/>
  <c r="O37" i="33"/>
  <c r="O49" i="33" s="1"/>
  <c r="P28" i="33"/>
  <c r="P13" i="33"/>
  <c r="M49" i="33"/>
  <c r="N49" i="33"/>
  <c r="N13" i="33"/>
  <c r="N50" i="33"/>
  <c r="N14" i="33"/>
  <c r="AS14" i="33" s="1"/>
  <c r="O14" i="33"/>
  <c r="N51" i="33"/>
  <c r="N15" i="33"/>
  <c r="O51" i="33"/>
  <c r="O15" i="33"/>
  <c r="N48" i="33"/>
  <c r="N12" i="33"/>
  <c r="O12" i="33"/>
  <c r="AU12" i="33" s="1"/>
  <c r="O48" i="33"/>
  <c r="M50" i="33"/>
  <c r="M51" i="33"/>
  <c r="M48" i="33"/>
  <c r="C30" i="33"/>
  <c r="AD32" i="33" s="1"/>
  <c r="AD40" i="33" s="1"/>
  <c r="C32" i="33"/>
  <c r="AD34" i="33" s="1"/>
  <c r="AD42" i="33" s="1"/>
  <c r="C34" i="33"/>
  <c r="C33" i="33"/>
  <c r="AD35" i="33" s="1"/>
  <c r="C31" i="33"/>
  <c r="AD33" i="33" s="1"/>
  <c r="AD41" i="33" s="1"/>
  <c r="P38" i="33" l="1"/>
  <c r="P14" i="33" s="1"/>
  <c r="X13" i="33"/>
  <c r="O13" i="33"/>
  <c r="O16" i="33" s="1"/>
  <c r="N16" i="33"/>
  <c r="AX14" i="33" l="1"/>
  <c r="P16" i="33"/>
  <c r="Q87" i="26"/>
  <c r="Q89" i="26" s="1"/>
  <c r="R87" i="26"/>
  <c r="R89" i="26" s="1"/>
  <c r="AB85" i="26"/>
  <c r="X85" i="26"/>
  <c r="T85" i="26"/>
  <c r="K85" i="26" l="1"/>
  <c r="O85" i="26"/>
  <c r="G85" i="26"/>
  <c r="AL134" i="27"/>
  <c r="AM134" i="27"/>
  <c r="AN134" i="27"/>
  <c r="AO134" i="27"/>
  <c r="AP134" i="27"/>
  <c r="AQ134" i="27"/>
  <c r="AR134" i="27"/>
  <c r="AS134" i="27"/>
  <c r="M46" i="33"/>
  <c r="AS97" i="27"/>
  <c r="AH94" i="27"/>
  <c r="AH80" i="27" s="1"/>
  <c r="AH95" i="27"/>
  <c r="AH81" i="27" s="1"/>
  <c r="AH96" i="27"/>
  <c r="AH82" i="27" s="1"/>
  <c r="AH97" i="27"/>
  <c r="AH83" i="27" s="1"/>
  <c r="AH93" i="27"/>
  <c r="AH79" i="27" s="1"/>
  <c r="AN80" i="27"/>
  <c r="AN81" i="27"/>
  <c r="AM107" i="27" s="1"/>
  <c r="AM119" i="27" s="1"/>
  <c r="AN82" i="27"/>
  <c r="AM108" i="27" s="1"/>
  <c r="AN79" i="27"/>
  <c r="AL115" i="27"/>
  <c r="AM115" i="27"/>
  <c r="AN115" i="27"/>
  <c r="AO115" i="27"/>
  <c r="AP115" i="27"/>
  <c r="AQ115" i="27"/>
  <c r="AR115" i="27"/>
  <c r="AS115" i="27"/>
  <c r="AK115" i="27"/>
  <c r="AK83" i="27"/>
  <c r="AO80" i="27"/>
  <c r="AO82" i="27"/>
  <c r="AO79" i="27"/>
  <c r="AR106" i="27"/>
  <c r="AR118" i="27" s="1"/>
  <c r="AR14" i="27" s="1"/>
  <c r="AR107" i="27"/>
  <c r="AR119" i="27" s="1"/>
  <c r="AR108" i="27"/>
  <c r="AR120" i="27" s="1"/>
  <c r="AR126" i="27" s="1"/>
  <c r="AR105" i="27"/>
  <c r="AR117" i="27" s="1"/>
  <c r="AR12" i="27" s="1"/>
  <c r="CB12" i="27" s="1"/>
  <c r="CI12" i="27" s="1"/>
  <c r="AN106" i="27"/>
  <c r="AN107" i="27"/>
  <c r="AN119" i="27" s="1"/>
  <c r="AN108" i="27"/>
  <c r="AN105" i="27"/>
  <c r="AH106" i="27"/>
  <c r="AH107" i="27"/>
  <c r="AH108" i="27"/>
  <c r="AH109" i="27"/>
  <c r="AH105" i="27"/>
  <c r="AL83" i="27"/>
  <c r="AM83" i="27"/>
  <c r="AT14" i="33"/>
  <c r="BK14" i="33" s="1"/>
  <c r="BH8" i="33"/>
  <c r="BI8" i="33"/>
  <c r="BJ8" i="33"/>
  <c r="BK8" i="33"/>
  <c r="BK10" i="33"/>
  <c r="BH11" i="33"/>
  <c r="BI11" i="33"/>
  <c r="BJ11" i="33"/>
  <c r="BK11" i="33"/>
  <c r="BG10" i="33"/>
  <c r="BG11" i="33"/>
  <c r="BG8" i="33"/>
  <c r="AL106" i="27" l="1"/>
  <c r="AL118" i="27" s="1"/>
  <c r="AL14" i="27" s="1"/>
  <c r="AR15" i="27"/>
  <c r="CB15" i="27" s="1"/>
  <c r="CI15" i="27" s="1"/>
  <c r="AN118" i="27"/>
  <c r="AN14" i="27" s="1"/>
  <c r="AP106" i="27"/>
  <c r="AP118" i="27" s="1"/>
  <c r="AP14" i="27" s="1"/>
  <c r="AK105" i="27"/>
  <c r="AM105" i="27"/>
  <c r="AM117" i="27" s="1"/>
  <c r="AM12" i="27" s="1"/>
  <c r="AN117" i="27"/>
  <c r="AN12" i="27" s="1"/>
  <c r="AO105" i="27"/>
  <c r="AO117" i="27" s="1"/>
  <c r="AO12" i="27" s="1"/>
  <c r="AS132" i="27"/>
  <c r="AH112" i="27"/>
  <c r="AH118" i="27"/>
  <c r="AH113" i="27"/>
  <c r="AH119" i="27"/>
  <c r="AH120" i="27"/>
  <c r="AH114" i="27"/>
  <c r="AH121" i="27"/>
  <c r="AH115" i="27"/>
  <c r="AH117" i="27"/>
  <c r="AH111" i="27"/>
  <c r="AL105" i="27"/>
  <c r="AL117" i="27" s="1"/>
  <c r="AL12" i="27" s="1"/>
  <c r="AL107" i="27"/>
  <c r="AL119" i="27" s="1"/>
  <c r="AP108" i="27"/>
  <c r="AP120" i="27" s="1"/>
  <c r="AP126" i="27" s="1"/>
  <c r="AN83" i="27"/>
  <c r="AK108" i="27"/>
  <c r="AK120" i="27" s="1"/>
  <c r="AK126" i="27" s="1"/>
  <c r="AK107" i="27"/>
  <c r="AK119" i="27" s="1"/>
  <c r="AQ108" i="27"/>
  <c r="AQ120" i="27" s="1"/>
  <c r="AQ126" i="27" s="1"/>
  <c r="AL108" i="27"/>
  <c r="AL120" i="27" s="1"/>
  <c r="AL126" i="27" s="1"/>
  <c r="AN120" i="27"/>
  <c r="AN126" i="27" s="1"/>
  <c r="AK106" i="27"/>
  <c r="AK118" i="27" s="1"/>
  <c r="AK14" i="27" s="1"/>
  <c r="AM106" i="27"/>
  <c r="AM118" i="27" s="1"/>
  <c r="AM14" i="27" s="1"/>
  <c r="AM120" i="27"/>
  <c r="AM126" i="27" s="1"/>
  <c r="AR121" i="27"/>
  <c r="AP105" i="27"/>
  <c r="AP117" i="27" s="1"/>
  <c r="AP12" i="27" s="1"/>
  <c r="CA12" i="27" s="1"/>
  <c r="AO108" i="27"/>
  <c r="AO120" i="27" s="1"/>
  <c r="AO126" i="27" s="1"/>
  <c r="AO107" i="27"/>
  <c r="AO119" i="27" s="1"/>
  <c r="AO15" i="27" s="1"/>
  <c r="AQ107" i="27"/>
  <c r="AQ119" i="27" s="1"/>
  <c r="AP107" i="27"/>
  <c r="AP119" i="27" s="1"/>
  <c r="AQ105" i="27"/>
  <c r="AQ117" i="27" s="1"/>
  <c r="AQ12" i="27" s="1"/>
  <c r="AQ106" i="27"/>
  <c r="AQ118" i="27" s="1"/>
  <c r="AQ14" i="27" s="1"/>
  <c r="AO106" i="27"/>
  <c r="AO118" i="27" s="1"/>
  <c r="AO14" i="27" s="1"/>
  <c r="AR109" i="27"/>
  <c r="AN109" i="27"/>
  <c r="AO83" i="27"/>
  <c r="AK15" i="27" l="1"/>
  <c r="AP15" i="27"/>
  <c r="CA15" i="27" s="1"/>
  <c r="AL15" i="27"/>
  <c r="AN15" i="27"/>
  <c r="AQ15" i="27"/>
  <c r="AM15" i="27"/>
  <c r="AR13" i="27"/>
  <c r="AR46" i="27" s="1"/>
  <c r="CB14" i="27"/>
  <c r="CI14" i="27" s="1"/>
  <c r="AK117" i="27"/>
  <c r="AK12" i="27" s="1"/>
  <c r="AH123" i="27"/>
  <c r="AH99" i="27"/>
  <c r="AL132" i="27"/>
  <c r="AP132" i="27"/>
  <c r="AH102" i="27"/>
  <c r="AH126" i="27"/>
  <c r="AH127" i="27"/>
  <c r="AH103" i="27"/>
  <c r="AN132" i="27"/>
  <c r="AM132" i="27"/>
  <c r="AO132" i="27"/>
  <c r="AH100" i="27"/>
  <c r="AH124" i="27"/>
  <c r="AH101" i="27"/>
  <c r="AH125" i="27"/>
  <c r="AQ132" i="27"/>
  <c r="AR132" i="27"/>
  <c r="AL121" i="27"/>
  <c r="AK109" i="27"/>
  <c r="AN121" i="27"/>
  <c r="AM109" i="27"/>
  <c r="AL109" i="27"/>
  <c r="AM121" i="27"/>
  <c r="AP121" i="27"/>
  <c r="AQ121" i="27"/>
  <c r="AO121" i="27"/>
  <c r="AO109" i="27"/>
  <c r="AP109" i="27"/>
  <c r="AK121" i="27" l="1"/>
  <c r="CB13" i="27"/>
  <c r="AO13" i="27"/>
  <c r="AO46" i="27" s="1"/>
  <c r="AN13" i="27"/>
  <c r="AN46" i="27" s="1"/>
  <c r="AL13" i="27"/>
  <c r="AL46" i="27" s="1"/>
  <c r="AQ13" i="27"/>
  <c r="AQ46" i="27" s="1"/>
  <c r="AM13" i="27"/>
  <c r="AM46" i="27" s="1"/>
  <c r="AP13" i="27"/>
  <c r="AP46" i="27" s="1"/>
  <c r="CA14" i="27"/>
  <c r="AQ109" i="27"/>
  <c r="CA13" i="27" l="1"/>
  <c r="CA46" i="27" s="1"/>
  <c r="CI13" i="27"/>
  <c r="CI46" i="27" s="1"/>
  <c r="CB46" i="27"/>
  <c r="P75" i="27"/>
  <c r="AS106" i="27" l="1"/>
  <c r="AS118" i="27" s="1"/>
  <c r="AS14" i="27" s="1"/>
  <c r="AS119" i="27"/>
  <c r="AS15" i="27" s="1"/>
  <c r="AS125" i="27" l="1"/>
  <c r="AT131" i="27" s="1"/>
  <c r="AS13" i="27"/>
  <c r="AS46" i="27" s="1"/>
  <c r="AS124" i="27"/>
  <c r="AT130" i="27" s="1"/>
  <c r="BG13" i="27" l="1"/>
  <c r="BG15" i="27"/>
  <c r="GW189" i="26"/>
  <c r="BV15" i="27" l="1"/>
  <c r="BV13" i="27"/>
  <c r="GY179" i="26"/>
  <c r="GX179" i="26"/>
  <c r="GW179" i="26"/>
  <c r="GZ179" i="26"/>
  <c r="GZ132" i="26"/>
  <c r="GY132" i="26"/>
  <c r="GX132" i="26"/>
  <c r="GW132" i="26"/>
  <c r="H75" i="27"/>
  <c r="I75" i="27"/>
  <c r="J75" i="27"/>
  <c r="K75" i="27"/>
  <c r="IC23" i="26" l="1"/>
  <c r="IC24" i="26"/>
  <c r="IF24" i="26"/>
  <c r="IG24" i="26"/>
  <c r="IG23" i="26"/>
  <c r="IF23" i="26"/>
  <c r="IB45" i="26" l="1"/>
  <c r="CI94" i="26"/>
  <c r="CI93" i="26"/>
  <c r="BP45" i="26" l="1"/>
  <c r="HO10" i="26" l="1"/>
  <c r="B11" i="26"/>
  <c r="B12" i="26" s="1"/>
  <c r="B13" i="26" s="1"/>
  <c r="B14" i="26" s="1"/>
  <c r="B15" i="26" s="1"/>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B45" i="26" s="1"/>
  <c r="B46" i="26" s="1"/>
  <c r="B47" i="26" s="1"/>
  <c r="B48" i="26" s="1"/>
  <c r="B49" i="26" s="1"/>
  <c r="B50" i="26" s="1"/>
  <c r="B51" i="26" s="1"/>
  <c r="B52" i="26" s="1"/>
  <c r="B53" i="26" s="1"/>
  <c r="B54" i="26" s="1"/>
  <c r="B55" i="26" s="1"/>
  <c r="B56" i="26" s="1"/>
  <c r="FC40" i="26"/>
  <c r="FB40" i="26"/>
  <c r="FC31" i="26"/>
  <c r="FB31" i="26"/>
  <c r="FC25" i="26"/>
  <c r="FL24" i="26" s="1"/>
  <c r="FB25" i="26"/>
  <c r="FK24" i="26" s="1"/>
  <c r="FC16" i="26"/>
  <c r="BT14" i="33"/>
  <c r="BX15" i="33"/>
  <c r="AI35" i="33" s="1"/>
  <c r="AH16" i="33"/>
  <c r="AI16" i="33"/>
  <c r="AJ16" i="33"/>
  <c r="AD8" i="33"/>
  <c r="AE8" i="33"/>
  <c r="AF8" i="33"/>
  <c r="AG8" i="33"/>
  <c r="AH8" i="33"/>
  <c r="AI8" i="33"/>
  <c r="AJ8" i="33"/>
  <c r="AK8" i="33"/>
  <c r="AC8" i="33"/>
  <c r="AC10" i="33"/>
  <c r="AC11" i="33"/>
  <c r="AP13" i="33"/>
  <c r="AQ13" i="33"/>
  <c r="AR13" i="33"/>
  <c r="AS13" i="33"/>
  <c r="AT13" i="33"/>
  <c r="AU13" i="33"/>
  <c r="AV13" i="33"/>
  <c r="BM13" i="33" s="1"/>
  <c r="AW13" i="33"/>
  <c r="BN13" i="33" s="1"/>
  <c r="AX13" i="33"/>
  <c r="AX16" i="33" s="1"/>
  <c r="AP14" i="33"/>
  <c r="AQ14" i="33"/>
  <c r="AR14" i="33"/>
  <c r="BU23" i="26"/>
  <c r="CO23" i="26" s="1"/>
  <c r="AU14" i="33"/>
  <c r="AV14" i="33"/>
  <c r="BM14" i="33" s="1"/>
  <c r="AW14" i="33"/>
  <c r="BN14" i="33" s="1"/>
  <c r="AP15" i="33"/>
  <c r="AQ15" i="33"/>
  <c r="AR15" i="33"/>
  <c r="AS15" i="33"/>
  <c r="AT15" i="33"/>
  <c r="AU15" i="33"/>
  <c r="BL15" i="33" s="1"/>
  <c r="AV15" i="33"/>
  <c r="BM15" i="33" s="1"/>
  <c r="AW15" i="33"/>
  <c r="BN15" i="33" s="1"/>
  <c r="BL12" i="33"/>
  <c r="AV12" i="33"/>
  <c r="AW12" i="33"/>
  <c r="AT12" i="33"/>
  <c r="AQ12" i="33"/>
  <c r="AR12" i="33"/>
  <c r="AS12" i="33"/>
  <c r="AP12" i="33"/>
  <c r="AU10" i="33"/>
  <c r="AH10" i="33" s="1"/>
  <c r="AQ10" i="33"/>
  <c r="CU90" i="26"/>
  <c r="CU33" i="26" s="1"/>
  <c r="CV90" i="26"/>
  <c r="CV33" i="26" s="1"/>
  <c r="CO13" i="27"/>
  <c r="AK13" i="27"/>
  <c r="AK46" i="27" s="1"/>
  <c r="CO14" i="27"/>
  <c r="CO15" i="27"/>
  <c r="CA10" i="27"/>
  <c r="AY27" i="27"/>
  <c r="AZ27" i="27"/>
  <c r="BA27" i="27"/>
  <c r="BO27" i="27" s="1"/>
  <c r="BB27" i="27"/>
  <c r="BP27" i="27" s="1"/>
  <c r="BC27" i="27"/>
  <c r="BD27" i="27"/>
  <c r="BR27" i="27" s="1"/>
  <c r="BE27" i="27"/>
  <c r="BF27" i="27"/>
  <c r="BT27" i="27" s="1"/>
  <c r="BG27" i="27"/>
  <c r="AY34" i="27"/>
  <c r="AZ34" i="27"/>
  <c r="BN34" i="27" s="1"/>
  <c r="BA34" i="27"/>
  <c r="BB34" i="27"/>
  <c r="BC34" i="27"/>
  <c r="BD34" i="27"/>
  <c r="BE34" i="27"/>
  <c r="BS34" i="27" s="1"/>
  <c r="BF34" i="27"/>
  <c r="BG34" i="27"/>
  <c r="AL9" i="27"/>
  <c r="AM9" i="27"/>
  <c r="AN9" i="27"/>
  <c r="AO9" i="27"/>
  <c r="AP9" i="27"/>
  <c r="BZ9" i="27" s="1"/>
  <c r="AQ9" i="27"/>
  <c r="AR9" i="27"/>
  <c r="BG9" i="27"/>
  <c r="BU9" i="27" s="1"/>
  <c r="AS60" i="27"/>
  <c r="AS143" i="27"/>
  <c r="AS174" i="27"/>
  <c r="AS175" i="27"/>
  <c r="L71" i="27"/>
  <c r="P71" i="27"/>
  <c r="H71" i="27"/>
  <c r="H57" i="27"/>
  <c r="AK57" i="27" s="1"/>
  <c r="H44" i="27"/>
  <c r="AK44" i="27" s="1"/>
  <c r="AK38" i="27"/>
  <c r="AY38" i="27" s="1"/>
  <c r="AL35" i="27"/>
  <c r="AZ35" i="27" s="1"/>
  <c r="AM35" i="27"/>
  <c r="BA35" i="27" s="1"/>
  <c r="AN35" i="27"/>
  <c r="BB35" i="27" s="1"/>
  <c r="AK35" i="27"/>
  <c r="AY35" i="27" s="1"/>
  <c r="GW259" i="26"/>
  <c r="AL21" i="27"/>
  <c r="AZ21" i="27" s="1"/>
  <c r="BN21" i="27" s="1"/>
  <c r="AM21" i="27"/>
  <c r="BA21" i="27" s="1"/>
  <c r="AN21" i="27"/>
  <c r="BB21" i="27" s="1"/>
  <c r="AL22" i="27"/>
  <c r="AZ22" i="27" s="1"/>
  <c r="AM22" i="27"/>
  <c r="BA22" i="27" s="1"/>
  <c r="AN22" i="27"/>
  <c r="BB22" i="27" s="1"/>
  <c r="AL23" i="27"/>
  <c r="AZ23" i="27" s="1"/>
  <c r="AM23" i="27"/>
  <c r="BA23" i="27" s="1"/>
  <c r="AN23" i="27"/>
  <c r="BB23" i="27" s="1"/>
  <c r="AK22" i="27"/>
  <c r="AY22" i="27" s="1"/>
  <c r="AK23" i="27"/>
  <c r="AY23" i="27" s="1"/>
  <c r="AK21" i="27"/>
  <c r="AY21" i="27" s="1"/>
  <c r="AK17" i="27"/>
  <c r="AY17" i="27" s="1"/>
  <c r="AL17" i="27"/>
  <c r="AZ17" i="27" s="1"/>
  <c r="AM17" i="27"/>
  <c r="BA17" i="27" s="1"/>
  <c r="AN17" i="27"/>
  <c r="BB17" i="27" s="1"/>
  <c r="AK18" i="27"/>
  <c r="AY18" i="27" s="1"/>
  <c r="AL18" i="27"/>
  <c r="AZ18" i="27" s="1"/>
  <c r="AM18" i="27"/>
  <c r="BA18" i="27" s="1"/>
  <c r="AN18" i="27"/>
  <c r="BB18" i="27" s="1"/>
  <c r="AL16" i="27"/>
  <c r="AZ16" i="27" s="1"/>
  <c r="AM16" i="27"/>
  <c r="BA16" i="27" s="1"/>
  <c r="AN16" i="27"/>
  <c r="BB16" i="27" s="1"/>
  <c r="AK16" i="27"/>
  <c r="AY16" i="27" s="1"/>
  <c r="I14" i="27"/>
  <c r="J14" i="27"/>
  <c r="K14" i="27"/>
  <c r="M14" i="27"/>
  <c r="N14" i="27"/>
  <c r="O14" i="27"/>
  <c r="BG14" i="27"/>
  <c r="BG46" i="27" s="1"/>
  <c r="I15" i="27"/>
  <c r="J15" i="27"/>
  <c r="K15" i="27"/>
  <c r="L15" i="27"/>
  <c r="M15" i="27"/>
  <c r="N15" i="27"/>
  <c r="O15" i="27"/>
  <c r="H15" i="27"/>
  <c r="H14" i="27"/>
  <c r="M2" i="27"/>
  <c r="I2" i="27"/>
  <c r="AK10" i="27"/>
  <c r="AL10" i="27"/>
  <c r="AM10" i="27"/>
  <c r="AN10" i="27"/>
  <c r="AK9" i="27"/>
  <c r="U8" i="27"/>
  <c r="AV21" i="26"/>
  <c r="AV22" i="26"/>
  <c r="AV23" i="26"/>
  <c r="AV24" i="26"/>
  <c r="AV25" i="26"/>
  <c r="AV31" i="26"/>
  <c r="AV34" i="26"/>
  <c r="AV35" i="26"/>
  <c r="AV40" i="26"/>
  <c r="AV41" i="26"/>
  <c r="EF10" i="26"/>
  <c r="HW47" i="26" s="1"/>
  <c r="EE10" i="26"/>
  <c r="HV47" i="26" s="1"/>
  <c r="EA11" i="26"/>
  <c r="HR48" i="26" s="1"/>
  <c r="EB11" i="26"/>
  <c r="HS48" i="26" s="1"/>
  <c r="EA10" i="26"/>
  <c r="HR47" i="26" s="1"/>
  <c r="BP23" i="27" l="1"/>
  <c r="BN27" i="27"/>
  <c r="BQ27" i="27"/>
  <c r="BO34" i="27"/>
  <c r="L76" i="27"/>
  <c r="L46" i="27"/>
  <c r="L48" i="27"/>
  <c r="O76" i="27"/>
  <c r="O46" i="27"/>
  <c r="O48" i="27"/>
  <c r="BS27" i="27"/>
  <c r="BQ34" i="27"/>
  <c r="M76" i="27"/>
  <c r="M48" i="27"/>
  <c r="M46" i="27"/>
  <c r="K76" i="27"/>
  <c r="K46" i="27"/>
  <c r="K48" i="27"/>
  <c r="J76" i="27"/>
  <c r="J46" i="27"/>
  <c r="J48" i="27"/>
  <c r="I76" i="27"/>
  <c r="I48" i="27"/>
  <c r="I46" i="27"/>
  <c r="BT34" i="27"/>
  <c r="BR34" i="27"/>
  <c r="BO35" i="27"/>
  <c r="BO17" i="27"/>
  <c r="BP21" i="27"/>
  <c r="HO302" i="26"/>
  <c r="HO324" i="26"/>
  <c r="HO353" i="26"/>
  <c r="BO16" i="27"/>
  <c r="BP35" i="27"/>
  <c r="DP23" i="26"/>
  <c r="BN18" i="27"/>
  <c r="BO18" i="27"/>
  <c r="BP22" i="27"/>
  <c r="BN17" i="27"/>
  <c r="BO21" i="27"/>
  <c r="B57" i="26"/>
  <c r="B58" i="26" s="1"/>
  <c r="BO22" i="27"/>
  <c r="AQ125" i="27"/>
  <c r="N46" i="27"/>
  <c r="N76" i="27"/>
  <c r="N48" i="27"/>
  <c r="BP16" i="27"/>
  <c r="CO46" i="27"/>
  <c r="BP18" i="27"/>
  <c r="BO23" i="27"/>
  <c r="BN35" i="27"/>
  <c r="BP34" i="27"/>
  <c r="BN23" i="27"/>
  <c r="BU34" i="27"/>
  <c r="BV34" i="27"/>
  <c r="BN16" i="27"/>
  <c r="BV14" i="27"/>
  <c r="BV46" i="27" s="1"/>
  <c r="H46" i="27"/>
  <c r="BP17" i="27"/>
  <c r="BN22" i="27"/>
  <c r="BU27" i="27"/>
  <c r="BV27" i="27"/>
  <c r="Y15" i="27"/>
  <c r="AO125" i="27"/>
  <c r="H48" i="27"/>
  <c r="AQ124" i="27"/>
  <c r="AQ138" i="27"/>
  <c r="Y14" i="27"/>
  <c r="AR138" i="27"/>
  <c r="H76" i="27"/>
  <c r="AK138" i="27"/>
  <c r="AM138" i="27"/>
  <c r="AP138" i="27"/>
  <c r="AN138" i="27"/>
  <c r="AL138" i="27"/>
  <c r="AO124" i="27"/>
  <c r="AO138" i="27"/>
  <c r="CV34" i="26"/>
  <c r="CV41" i="26" s="1"/>
  <c r="DW33" i="26"/>
  <c r="CU34" i="26"/>
  <c r="CU41" i="26" s="1"/>
  <c r="DV33" i="26"/>
  <c r="AP16" i="33"/>
  <c r="AS16" i="33"/>
  <c r="BK12" i="33"/>
  <c r="AT16" i="33"/>
  <c r="AW16" i="33"/>
  <c r="AC16" i="33"/>
  <c r="BX12" i="33"/>
  <c r="AK16" i="33"/>
  <c r="AR16" i="33"/>
  <c r="AG16" i="33"/>
  <c r="AF16" i="33"/>
  <c r="AD16" i="33"/>
  <c r="BL13" i="33"/>
  <c r="AU16" i="33"/>
  <c r="AQ16" i="33"/>
  <c r="BM12" i="33"/>
  <c r="AV16" i="33"/>
  <c r="AE16" i="33"/>
  <c r="BN12" i="33"/>
  <c r="BJ12" i="33"/>
  <c r="HO284" i="26"/>
  <c r="HO264" i="26"/>
  <c r="HO276" i="26"/>
  <c r="HO257" i="26"/>
  <c r="HO191" i="26"/>
  <c r="HO171" i="26"/>
  <c r="HO164" i="26"/>
  <c r="HO183" i="26"/>
  <c r="HO153" i="26"/>
  <c r="HO246" i="26"/>
  <c r="HO121" i="26"/>
  <c r="HO214" i="26"/>
  <c r="HO115" i="26"/>
  <c r="HO92" i="26"/>
  <c r="HO27" i="26"/>
  <c r="HO53" i="26"/>
  <c r="HO86" i="26"/>
  <c r="HO208" i="26"/>
  <c r="GW211" i="26"/>
  <c r="IC15" i="26"/>
  <c r="ID15" i="26"/>
  <c r="EA95" i="26"/>
  <c r="EA88" i="26"/>
  <c r="EE87" i="26"/>
  <c r="EE94" i="26"/>
  <c r="EF87" i="26"/>
  <c r="EF94" i="26"/>
  <c r="EA94" i="26"/>
  <c r="EA87" i="26"/>
  <c r="EB95" i="26"/>
  <c r="EB88" i="26"/>
  <c r="EM11" i="26"/>
  <c r="EN11" i="26"/>
  <c r="J2" i="27"/>
  <c r="J57" i="27" s="1"/>
  <c r="AM57" i="27" s="1"/>
  <c r="I51" i="27"/>
  <c r="N2" i="27"/>
  <c r="N71" i="27" s="1"/>
  <c r="M51" i="27"/>
  <c r="CN14" i="27"/>
  <c r="CT14" i="27" s="1"/>
  <c r="EA24" i="26"/>
  <c r="EA23" i="26"/>
  <c r="EA22" i="26"/>
  <c r="EA21" i="26"/>
  <c r="AP124" i="27"/>
  <c r="X14" i="27"/>
  <c r="AP125" i="27"/>
  <c r="X15" i="27"/>
  <c r="AD10" i="33"/>
  <c r="BD10" i="33"/>
  <c r="BG144" i="27"/>
  <c r="BU14" i="33"/>
  <c r="AH34" i="33" s="1"/>
  <c r="BL14" i="33"/>
  <c r="BW12" i="33"/>
  <c r="BT13" i="33"/>
  <c r="BV12" i="33"/>
  <c r="BT12" i="33"/>
  <c r="BX14" i="33"/>
  <c r="AI34" i="33" s="1"/>
  <c r="BU13" i="33"/>
  <c r="BV13" i="33"/>
  <c r="BQ12" i="33"/>
  <c r="BW14" i="33"/>
  <c r="BV14" i="33"/>
  <c r="BU12" i="33"/>
  <c r="BR13" i="33"/>
  <c r="BQ13" i="33"/>
  <c r="BW15" i="33"/>
  <c r="BU15" i="33"/>
  <c r="BR14" i="33"/>
  <c r="BT15" i="33"/>
  <c r="BQ14" i="33"/>
  <c r="BP14" i="33"/>
  <c r="BR15" i="33"/>
  <c r="BV15" i="33"/>
  <c r="BR12" i="33"/>
  <c r="BQ15" i="33"/>
  <c r="BW13" i="33"/>
  <c r="BT22" i="26"/>
  <c r="CN22" i="26" s="1"/>
  <c r="DO22" i="26" s="1"/>
  <c r="BS13" i="33"/>
  <c r="BY22" i="26"/>
  <c r="BX13" i="33"/>
  <c r="AI33" i="33" s="1"/>
  <c r="BT23" i="26"/>
  <c r="CN23" i="26" s="1"/>
  <c r="DO23" i="26" s="1"/>
  <c r="BS14" i="33"/>
  <c r="BT24" i="26"/>
  <c r="CN24" i="26" s="1"/>
  <c r="DO24" i="26" s="1"/>
  <c r="BS15" i="33"/>
  <c r="BT21" i="26"/>
  <c r="CN21" i="26" s="1"/>
  <c r="BS12" i="33"/>
  <c r="BU10" i="33"/>
  <c r="AR10" i="33"/>
  <c r="BQ10" i="33"/>
  <c r="BQ22" i="26"/>
  <c r="CK22" i="26" s="1"/>
  <c r="DL22" i="26" s="1"/>
  <c r="BP13" i="33"/>
  <c r="BR22" i="26"/>
  <c r="CL22" i="26" s="1"/>
  <c r="DM22" i="26" s="1"/>
  <c r="BS22" i="26"/>
  <c r="CM22" i="26" s="1"/>
  <c r="DN22" i="26" s="1"/>
  <c r="BR23" i="26"/>
  <c r="CL23" i="26" s="1"/>
  <c r="DM23" i="26" s="1"/>
  <c r="BS23" i="26"/>
  <c r="CM23" i="26" s="1"/>
  <c r="DN23" i="26" s="1"/>
  <c r="BQ24" i="26"/>
  <c r="CK24" i="26" s="1"/>
  <c r="DL24" i="26" s="1"/>
  <c r="BP15" i="33"/>
  <c r="BR24" i="26"/>
  <c r="CL24" i="26" s="1"/>
  <c r="DM24" i="26" s="1"/>
  <c r="BS24" i="26"/>
  <c r="CM24" i="26" s="1"/>
  <c r="DN24" i="26" s="1"/>
  <c r="BR21" i="26"/>
  <c r="CL21" i="26" s="1"/>
  <c r="BS21" i="26"/>
  <c r="CM21" i="26" s="1"/>
  <c r="BQ21" i="26"/>
  <c r="CK21" i="26" s="1"/>
  <c r="DL21" i="26" s="1"/>
  <c r="BP12" i="33"/>
  <c r="AE87" i="26"/>
  <c r="AE89" i="26" s="1"/>
  <c r="AD87" i="26"/>
  <c r="AD89" i="26" s="1"/>
  <c r="BA15" i="27"/>
  <c r="AM125" i="27"/>
  <c r="AZ15" i="27"/>
  <c r="AL125" i="27"/>
  <c r="AY12" i="27"/>
  <c r="AK87" i="27"/>
  <c r="BF14" i="27"/>
  <c r="BU14" i="27" s="1"/>
  <c r="AR124" i="27"/>
  <c r="AS130" i="27" s="1"/>
  <c r="AZ12" i="27"/>
  <c r="BF15" i="27"/>
  <c r="AR125" i="27"/>
  <c r="BA14" i="27"/>
  <c r="AM124" i="27"/>
  <c r="BA12" i="27"/>
  <c r="AY14" i="27"/>
  <c r="AK124" i="27"/>
  <c r="BB14" i="27"/>
  <c r="AN124" i="27"/>
  <c r="AZ14" i="27"/>
  <c r="BN14" i="27" s="1"/>
  <c r="AL124" i="27"/>
  <c r="AK155" i="27"/>
  <c r="AK86" i="27"/>
  <c r="AK137" i="27" s="1"/>
  <c r="BB15" i="27"/>
  <c r="AN125" i="27"/>
  <c r="BB12" i="27"/>
  <c r="AY15" i="27"/>
  <c r="AK125" i="27"/>
  <c r="BX24" i="26"/>
  <c r="CR24" i="26" s="1"/>
  <c r="BJ15" i="33"/>
  <c r="BW24" i="26"/>
  <c r="CQ24" i="26" s="1"/>
  <c r="BI15" i="33"/>
  <c r="BV24" i="26"/>
  <c r="CP24" i="26" s="1"/>
  <c r="BH15" i="33"/>
  <c r="BU21" i="26"/>
  <c r="CO21" i="26" s="1"/>
  <c r="BG12" i="33"/>
  <c r="BX21" i="26"/>
  <c r="CR21" i="26" s="1"/>
  <c r="BY21" i="26"/>
  <c r="CS21" i="26" s="1"/>
  <c r="BY24" i="26"/>
  <c r="CS24" i="26" s="1"/>
  <c r="BK15" i="33"/>
  <c r="BW21" i="26"/>
  <c r="CQ21" i="26" s="1"/>
  <c r="BI12" i="33"/>
  <c r="BY23" i="26"/>
  <c r="CS23" i="26" s="1"/>
  <c r="AV10" i="33"/>
  <c r="AI10" i="33" s="1"/>
  <c r="BH10" i="33"/>
  <c r="BU24" i="26"/>
  <c r="CO24" i="26" s="1"/>
  <c r="BG15" i="33"/>
  <c r="BV21" i="26"/>
  <c r="CP21" i="26" s="1"/>
  <c r="BH12" i="33"/>
  <c r="BQ23" i="26"/>
  <c r="CK23" i="26" s="1"/>
  <c r="DL23" i="26" s="1"/>
  <c r="BG14" i="33"/>
  <c r="BX22" i="26"/>
  <c r="CR22" i="26" s="1"/>
  <c r="BJ13" i="33"/>
  <c r="BW22" i="26"/>
  <c r="CQ22" i="26" s="1"/>
  <c r="BI13" i="33"/>
  <c r="BV22" i="26"/>
  <c r="CP22" i="26" s="1"/>
  <c r="BH13" i="33"/>
  <c r="BU22" i="26"/>
  <c r="CO22" i="26" s="1"/>
  <c r="BG13" i="33"/>
  <c r="BK13" i="33"/>
  <c r="BW23" i="26"/>
  <c r="CQ23" i="26" s="1"/>
  <c r="BI14" i="33"/>
  <c r="BV23" i="26"/>
  <c r="CP23" i="26" s="1"/>
  <c r="BH14" i="33"/>
  <c r="BX23" i="26"/>
  <c r="CR23" i="26" s="1"/>
  <c r="BJ14" i="33"/>
  <c r="IG15" i="26"/>
  <c r="AL39" i="27"/>
  <c r="GX125" i="26" s="1"/>
  <c r="AM39" i="27"/>
  <c r="GY125" i="26" s="1"/>
  <c r="AN38" i="27"/>
  <c r="BB38" i="27" s="1"/>
  <c r="GW260" i="26"/>
  <c r="GW217" i="26"/>
  <c r="AM38" i="27"/>
  <c r="BA38" i="27" s="1"/>
  <c r="IF15" i="26"/>
  <c r="AN39" i="27"/>
  <c r="GZ125" i="26" s="1"/>
  <c r="AK39" i="27"/>
  <c r="GW218" i="26"/>
  <c r="AL38" i="27"/>
  <c r="AZ38" i="27" s="1"/>
  <c r="BN38" i="27" s="1"/>
  <c r="GW96" i="26"/>
  <c r="GW94" i="26"/>
  <c r="GW95" i="26"/>
  <c r="EA20" i="26"/>
  <c r="AN24" i="27"/>
  <c r="BB24" i="27" s="1"/>
  <c r="AL24" i="27"/>
  <c r="AZ24" i="27" s="1"/>
  <c r="AM24" i="27"/>
  <c r="BA24" i="27" s="1"/>
  <c r="AK24" i="27"/>
  <c r="AY24" i="27" s="1"/>
  <c r="H58" i="27"/>
  <c r="H49" i="27"/>
  <c r="K58" i="27"/>
  <c r="J59" i="27"/>
  <c r="H47" i="27"/>
  <c r="I59" i="27"/>
  <c r="K59" i="27"/>
  <c r="H45" i="27"/>
  <c r="J58" i="27"/>
  <c r="I58" i="27"/>
  <c r="H59" i="27"/>
  <c r="I44" i="27"/>
  <c r="AL44" i="27" s="1"/>
  <c r="I57" i="27"/>
  <c r="AL57" i="27" s="1"/>
  <c r="M71" i="27"/>
  <c r="I71" i="27"/>
  <c r="AO9" i="14"/>
  <c r="AO10" i="14"/>
  <c r="AO11" i="14"/>
  <c r="AO12" i="14"/>
  <c r="Q9" i="14"/>
  <c r="Q10" i="14"/>
  <c r="Q11" i="14"/>
  <c r="Q12" i="14"/>
  <c r="Q8" i="14"/>
  <c r="Q7" i="14"/>
  <c r="V8" i="6"/>
  <c r="W8" i="6" s="1"/>
  <c r="X8" i="6" s="1"/>
  <c r="R8" i="6"/>
  <c r="S8" i="6" s="1"/>
  <c r="T8" i="6" s="1"/>
  <c r="Q9" i="6"/>
  <c r="U9" i="6"/>
  <c r="Y9" i="6"/>
  <c r="AH9" i="6" s="1"/>
  <c r="AR9" i="6" s="1"/>
  <c r="Q10" i="6"/>
  <c r="U10" i="6"/>
  <c r="Y10" i="6"/>
  <c r="AH10" i="6" s="1"/>
  <c r="AR10" i="6" s="1"/>
  <c r="Q11" i="6"/>
  <c r="U11" i="6"/>
  <c r="Y11" i="6"/>
  <c r="AH11" i="6" s="1"/>
  <c r="AR11" i="6" s="1"/>
  <c r="Q12" i="6"/>
  <c r="U12" i="6"/>
  <c r="Y12" i="6"/>
  <c r="Q13" i="6"/>
  <c r="U13" i="6"/>
  <c r="Y13" i="6"/>
  <c r="AH13" i="6" s="1"/>
  <c r="AR13" i="6" s="1"/>
  <c r="Q14" i="6"/>
  <c r="U14" i="6"/>
  <c r="Y14" i="6"/>
  <c r="AH14" i="6" s="1"/>
  <c r="AR14" i="6" s="1"/>
  <c r="Q15" i="6"/>
  <c r="U15" i="6"/>
  <c r="Y15" i="6"/>
  <c r="AH15" i="6" s="1"/>
  <c r="AR15" i="6" s="1"/>
  <c r="Q16" i="6"/>
  <c r="U16" i="6"/>
  <c r="Y16" i="6"/>
  <c r="AH16" i="6" s="1"/>
  <c r="AR16" i="6" s="1"/>
  <c r="Q17" i="6"/>
  <c r="U17" i="6"/>
  <c r="Y17" i="6"/>
  <c r="Q18" i="6"/>
  <c r="U18" i="6"/>
  <c r="Y18" i="6"/>
  <c r="AH18" i="6" s="1"/>
  <c r="AR18" i="6" s="1"/>
  <c r="U19" i="6"/>
  <c r="Y19" i="6"/>
  <c r="AH19" i="6" s="1"/>
  <c r="AR19" i="6" s="1"/>
  <c r="Q20" i="6"/>
  <c r="U20" i="6"/>
  <c r="Y20" i="6"/>
  <c r="AH20" i="6" s="1"/>
  <c r="AR20" i="6" s="1"/>
  <c r="Q21" i="6"/>
  <c r="U21" i="6"/>
  <c r="Y21" i="6"/>
  <c r="AH21" i="6" s="1"/>
  <c r="AR21" i="6" s="1"/>
  <c r="Q22" i="6"/>
  <c r="U22" i="6"/>
  <c r="Y22" i="6"/>
  <c r="AH22" i="6" s="1"/>
  <c r="AR22" i="6" s="1"/>
  <c r="U23" i="6"/>
  <c r="Y23" i="6"/>
  <c r="Q24" i="6"/>
  <c r="U24" i="6"/>
  <c r="Y24" i="6"/>
  <c r="AH24" i="6" s="1"/>
  <c r="AR24" i="6" s="1"/>
  <c r="Q25" i="6"/>
  <c r="U25" i="6"/>
  <c r="Y25" i="6"/>
  <c r="AH25" i="6" s="1"/>
  <c r="AR25" i="6" s="1"/>
  <c r="Q26" i="6"/>
  <c r="U26" i="6"/>
  <c r="Y26" i="6"/>
  <c r="U27" i="6"/>
  <c r="Y27" i="6"/>
  <c r="AH27" i="6" s="1"/>
  <c r="AR27" i="6" s="1"/>
  <c r="Q28" i="6"/>
  <c r="U28" i="6"/>
  <c r="Y28" i="6"/>
  <c r="Q29" i="6"/>
  <c r="U29" i="6"/>
  <c r="Y29" i="6"/>
  <c r="Q30" i="6"/>
  <c r="U30" i="6"/>
  <c r="Y30" i="6"/>
  <c r="U31" i="6"/>
  <c r="Y31" i="6"/>
  <c r="Q32" i="6"/>
  <c r="U32" i="6"/>
  <c r="Y32" i="6"/>
  <c r="AH32" i="6" s="1"/>
  <c r="AR32" i="6" s="1"/>
  <c r="Q33" i="6"/>
  <c r="U33" i="6"/>
  <c r="Y33" i="6"/>
  <c r="AH33" i="6" s="1"/>
  <c r="AR33" i="6" s="1"/>
  <c r="Q34" i="6"/>
  <c r="U34" i="6"/>
  <c r="Y34" i="6"/>
  <c r="AR8" i="4"/>
  <c r="AQ8" i="4"/>
  <c r="W8" i="4"/>
  <c r="X8" i="4" s="1"/>
  <c r="Y8" i="4" s="1"/>
  <c r="S8" i="4"/>
  <c r="T8" i="4" s="1"/>
  <c r="U8" i="4" s="1"/>
  <c r="BR14" i="4"/>
  <c r="BR15" i="4"/>
  <c r="BR16" i="4"/>
  <c r="BR17" i="4"/>
  <c r="BR18" i="4"/>
  <c r="BR20" i="4"/>
  <c r="BR21" i="4"/>
  <c r="BR22" i="4"/>
  <c r="BR23" i="4"/>
  <c r="BR25" i="4"/>
  <c r="BR26" i="4"/>
  <c r="BR27" i="4"/>
  <c r="BR29" i="4"/>
  <c r="BR30" i="4"/>
  <c r="BR31" i="4"/>
  <c r="BR32" i="4"/>
  <c r="BR33" i="4"/>
  <c r="BR34" i="4"/>
  <c r="BR35" i="4"/>
  <c r="BR41" i="4"/>
  <c r="BR42" i="4"/>
  <c r="BR12" i="4"/>
  <c r="BR13" i="4"/>
  <c r="BP14" i="27" l="1"/>
  <c r="AH32" i="33"/>
  <c r="AJ34" i="33"/>
  <c r="AK34" i="33"/>
  <c r="AH33" i="33"/>
  <c r="AJ33" i="33" s="1"/>
  <c r="BA8" i="4"/>
  <c r="AQ47" i="4"/>
  <c r="AH35" i="33"/>
  <c r="BB8" i="4"/>
  <c r="AR47" i="4"/>
  <c r="BX16" i="33"/>
  <c r="AI32" i="33"/>
  <c r="AI36" i="33"/>
  <c r="BV16" i="33"/>
  <c r="AO14" i="14"/>
  <c r="CX21" i="26"/>
  <c r="CX23" i="26"/>
  <c r="DQ24" i="26"/>
  <c r="CY24" i="26"/>
  <c r="DC24" i="26"/>
  <c r="DQ22" i="26"/>
  <c r="CY22" i="26"/>
  <c r="DC22" i="26"/>
  <c r="DT23" i="26"/>
  <c r="DB23" i="26"/>
  <c r="DR24" i="26"/>
  <c r="CZ24" i="26"/>
  <c r="DD24" i="26"/>
  <c r="DR22" i="26"/>
  <c r="CZ22" i="26"/>
  <c r="DD22" i="26"/>
  <c r="DS23" i="26"/>
  <c r="DA23" i="26"/>
  <c r="DE23" i="26"/>
  <c r="CZ21" i="26"/>
  <c r="DD21" i="26"/>
  <c r="DS24" i="26"/>
  <c r="DA24" i="26"/>
  <c r="DE24" i="26"/>
  <c r="DS22" i="26"/>
  <c r="DA22" i="26"/>
  <c r="DE22" i="26"/>
  <c r="DQ23" i="26"/>
  <c r="CY23" i="26"/>
  <c r="DC23" i="26"/>
  <c r="DT24" i="26"/>
  <c r="DB24" i="26"/>
  <c r="DB21" i="26"/>
  <c r="DR23" i="26"/>
  <c r="CZ23" i="26"/>
  <c r="DD23" i="26"/>
  <c r="DA21" i="26"/>
  <c r="DE21" i="26"/>
  <c r="CY21" i="26"/>
  <c r="DC21" i="26"/>
  <c r="DP22" i="26"/>
  <c r="CX22" i="26"/>
  <c r="DP24" i="26"/>
  <c r="CX24" i="26"/>
  <c r="BP38" i="27"/>
  <c r="U36" i="6"/>
  <c r="Q14" i="14"/>
  <c r="Y37" i="6"/>
  <c r="U37" i="6"/>
  <c r="Y36" i="6"/>
  <c r="AE15" i="27"/>
  <c r="Y46" i="27"/>
  <c r="Y48" i="27"/>
  <c r="AD15" i="27"/>
  <c r="X46" i="27"/>
  <c r="X48" i="27"/>
  <c r="BO24" i="27"/>
  <c r="BO15" i="27"/>
  <c r="BP24" i="27"/>
  <c r="BU15" i="27"/>
  <c r="BN15" i="27"/>
  <c r="BO38" i="27"/>
  <c r="BO14" i="27"/>
  <c r="AD14" i="27"/>
  <c r="BN24" i="27"/>
  <c r="BP15" i="27"/>
  <c r="AE14" i="27"/>
  <c r="BN12" i="27"/>
  <c r="AP131" i="27"/>
  <c r="BO12" i="27"/>
  <c r="BP12" i="27"/>
  <c r="AQ130" i="27"/>
  <c r="J71" i="27"/>
  <c r="J44" i="27"/>
  <c r="AM44" i="27" s="1"/>
  <c r="AM86" i="27" s="1"/>
  <c r="AM137" i="27" s="1"/>
  <c r="AQ131" i="27"/>
  <c r="CL20" i="26"/>
  <c r="DM21" i="26"/>
  <c r="DR21" i="26"/>
  <c r="CQ20" i="26"/>
  <c r="HC29" i="26" s="1"/>
  <c r="DO21" i="26"/>
  <c r="CN20" i="26"/>
  <c r="DT21" i="26"/>
  <c r="DS21" i="26"/>
  <c r="CR20" i="26"/>
  <c r="HD29" i="26" s="1"/>
  <c r="DV41" i="26"/>
  <c r="DV34" i="26"/>
  <c r="CP20" i="26"/>
  <c r="DQ21" i="26"/>
  <c r="DN21" i="26"/>
  <c r="CM20" i="26"/>
  <c r="CO20" i="26"/>
  <c r="HA29" i="26" s="1"/>
  <c r="DP21" i="26"/>
  <c r="CS22" i="26"/>
  <c r="DW41" i="26"/>
  <c r="DW34" i="26"/>
  <c r="EM21" i="26"/>
  <c r="JB21" i="26"/>
  <c r="JA21" i="26" s="1"/>
  <c r="EM22" i="26"/>
  <c r="JB22" i="26"/>
  <c r="JA22" i="26" s="1"/>
  <c r="EM23" i="26"/>
  <c r="JB23" i="26"/>
  <c r="EM20" i="26"/>
  <c r="JB20" i="26"/>
  <c r="EM24" i="26"/>
  <c r="JB24" i="26"/>
  <c r="HG13" i="26"/>
  <c r="HH13" i="26"/>
  <c r="BS16" i="33"/>
  <c r="BR16" i="33"/>
  <c r="BQ16" i="33"/>
  <c r="BU16" i="33"/>
  <c r="BW16" i="33"/>
  <c r="BP16" i="33"/>
  <c r="BT16" i="33"/>
  <c r="GW111" i="26"/>
  <c r="GW20" i="26" s="1"/>
  <c r="O2" i="27"/>
  <c r="N51" i="27"/>
  <c r="K2" i="27"/>
  <c r="J51" i="27"/>
  <c r="AP130" i="27"/>
  <c r="AP28" i="6"/>
  <c r="AH28" i="6"/>
  <c r="AH37" i="6" s="1"/>
  <c r="BR11" i="4"/>
  <c r="BP43" i="4"/>
  <c r="BR43" i="4"/>
  <c r="BY20" i="26"/>
  <c r="AE10" i="33"/>
  <c r="BE10" i="33"/>
  <c r="AL130" i="27"/>
  <c r="BR20" i="26"/>
  <c r="BT20" i="26"/>
  <c r="BS20" i="26"/>
  <c r="BR10" i="33"/>
  <c r="AS10" i="33"/>
  <c r="BV10" i="33"/>
  <c r="AM131" i="27"/>
  <c r="AM130" i="27"/>
  <c r="AL131" i="27"/>
  <c r="AR130" i="27"/>
  <c r="AR131" i="27"/>
  <c r="AS131" i="27"/>
  <c r="AN130" i="27"/>
  <c r="AO130" i="27"/>
  <c r="AN131" i="27"/>
  <c r="AO131" i="27"/>
  <c r="BV20" i="26"/>
  <c r="BU20" i="26"/>
  <c r="BX20" i="26"/>
  <c r="BQ20" i="26"/>
  <c r="BW20" i="26"/>
  <c r="AM127" i="27"/>
  <c r="AM139" i="27" s="1"/>
  <c r="AM123" i="27"/>
  <c r="AL123" i="27"/>
  <c r="AL127" i="27"/>
  <c r="AL139" i="27" s="1"/>
  <c r="AN127" i="27"/>
  <c r="AN139" i="27" s="1"/>
  <c r="AN123" i="27"/>
  <c r="AK91" i="27"/>
  <c r="AK127" i="27" s="1"/>
  <c r="AK139" i="27" s="1"/>
  <c r="AK123" i="27"/>
  <c r="AL155" i="27"/>
  <c r="AL86" i="27"/>
  <c r="AL137" i="27" s="1"/>
  <c r="EB22" i="26"/>
  <c r="EN22" i="26" s="1"/>
  <c r="EC23" i="26"/>
  <c r="EO23" i="26" s="1"/>
  <c r="EB21" i="26"/>
  <c r="EN21" i="26" s="1"/>
  <c r="EC21" i="26"/>
  <c r="EO21" i="26" s="1"/>
  <c r="EB24" i="26"/>
  <c r="EN24" i="26" s="1"/>
  <c r="EB23" i="26"/>
  <c r="EN23" i="26" s="1"/>
  <c r="EC24" i="26"/>
  <c r="EO24" i="26" s="1"/>
  <c r="AW10" i="33"/>
  <c r="BI10" i="33"/>
  <c r="AL40" i="27"/>
  <c r="AZ40" i="27" s="1"/>
  <c r="W30" i="6"/>
  <c r="T29" i="6"/>
  <c r="W26" i="6"/>
  <c r="T25" i="6"/>
  <c r="W22" i="6"/>
  <c r="T21" i="6"/>
  <c r="W18" i="6"/>
  <c r="T17" i="6"/>
  <c r="W10" i="6"/>
  <c r="W14" i="6"/>
  <c r="T9" i="6"/>
  <c r="AM40" i="27"/>
  <c r="BA40" i="27" s="1"/>
  <c r="GW219" i="26"/>
  <c r="AN40" i="27"/>
  <c r="BB40" i="27" s="1"/>
  <c r="AY39" i="27"/>
  <c r="GW125" i="26"/>
  <c r="AK40" i="27"/>
  <c r="AY40" i="27" s="1"/>
  <c r="AZ39" i="27"/>
  <c r="BB39" i="27"/>
  <c r="BA39" i="27"/>
  <c r="W34" i="6"/>
  <c r="T33" i="6"/>
  <c r="T13" i="6"/>
  <c r="AN11" i="14"/>
  <c r="W8" i="8"/>
  <c r="V20" i="6"/>
  <c r="AG20" i="6" s="1"/>
  <c r="V33" i="6"/>
  <c r="AG33" i="6" s="1"/>
  <c r="S32" i="6"/>
  <c r="V29" i="6"/>
  <c r="S28" i="6"/>
  <c r="V25" i="6"/>
  <c r="AG25" i="6" s="1"/>
  <c r="S24" i="6"/>
  <c r="V21" i="6"/>
  <c r="AG21" i="6" s="1"/>
  <c r="S20" i="6"/>
  <c r="V17" i="6"/>
  <c r="S16" i="6"/>
  <c r="V13" i="6"/>
  <c r="AG13" i="6" s="1"/>
  <c r="S12" i="6"/>
  <c r="V9" i="6"/>
  <c r="AG9" i="6" s="1"/>
  <c r="V8" i="8"/>
  <c r="T12" i="6"/>
  <c r="V34" i="6"/>
  <c r="S33" i="6"/>
  <c r="V30" i="6"/>
  <c r="S29" i="6"/>
  <c r="V26" i="6"/>
  <c r="S25" i="6"/>
  <c r="V22" i="6"/>
  <c r="AG22" i="6" s="1"/>
  <c r="S21" i="6"/>
  <c r="V18" i="6"/>
  <c r="AG18" i="6" s="1"/>
  <c r="S17" i="6"/>
  <c r="V14" i="6"/>
  <c r="AG14" i="6" s="1"/>
  <c r="S13" i="6"/>
  <c r="V10" i="6"/>
  <c r="AG10" i="6" s="1"/>
  <c r="S9" i="6"/>
  <c r="BQ40" i="4"/>
  <c r="R33" i="6"/>
  <c r="X31" i="6"/>
  <c r="R29" i="6"/>
  <c r="X27" i="6"/>
  <c r="R25" i="6"/>
  <c r="X23" i="6"/>
  <c r="R21" i="6"/>
  <c r="X19" i="6"/>
  <c r="R17" i="6"/>
  <c r="X15" i="6"/>
  <c r="R13" i="6"/>
  <c r="X11" i="6"/>
  <c r="R9" i="6"/>
  <c r="AN11" i="4"/>
  <c r="BQ11" i="4" s="1"/>
  <c r="V32" i="6"/>
  <c r="AG32" i="6" s="1"/>
  <c r="R8" i="8"/>
  <c r="R15" i="8" s="1"/>
  <c r="AF8" i="14"/>
  <c r="AN8" i="14" s="1"/>
  <c r="S31" i="6"/>
  <c r="V28" i="6"/>
  <c r="S27" i="6"/>
  <c r="V24" i="6"/>
  <c r="AG24" i="6" s="1"/>
  <c r="S23" i="6"/>
  <c r="S19" i="6"/>
  <c r="V16" i="6"/>
  <c r="AG16" i="6" s="1"/>
  <c r="S15" i="6"/>
  <c r="V12" i="6"/>
  <c r="S11" i="6"/>
  <c r="W33" i="6"/>
  <c r="T32" i="6"/>
  <c r="W29" i="6"/>
  <c r="T28" i="6"/>
  <c r="W25" i="6"/>
  <c r="T24" i="6"/>
  <c r="W21" i="6"/>
  <c r="T20" i="6"/>
  <c r="W17" i="6"/>
  <c r="T16" i="6"/>
  <c r="W13" i="6"/>
  <c r="X34" i="6"/>
  <c r="X30" i="6"/>
  <c r="X26" i="6"/>
  <c r="X22" i="6"/>
  <c r="X18" i="6"/>
  <c r="X14" i="6"/>
  <c r="R12" i="6"/>
  <c r="S8" i="8"/>
  <c r="S15" i="8" s="1"/>
  <c r="T34" i="6"/>
  <c r="W31" i="6"/>
  <c r="T30" i="6"/>
  <c r="W27" i="6"/>
  <c r="T26" i="6"/>
  <c r="W23" i="6"/>
  <c r="T22" i="6"/>
  <c r="W19" i="6"/>
  <c r="T18" i="6"/>
  <c r="W15" i="6"/>
  <c r="T14" i="6"/>
  <c r="W11" i="6"/>
  <c r="T10" i="6"/>
  <c r="AN9" i="14"/>
  <c r="Q8" i="8"/>
  <c r="Q15" i="8" s="1"/>
  <c r="R34" i="6"/>
  <c r="X32" i="6"/>
  <c r="R30" i="6"/>
  <c r="X28" i="6"/>
  <c r="R26" i="6"/>
  <c r="X24" i="6"/>
  <c r="R22" i="6"/>
  <c r="X20" i="6"/>
  <c r="R18" i="6"/>
  <c r="X16" i="6"/>
  <c r="R14" i="6"/>
  <c r="X12" i="6"/>
  <c r="R10" i="6"/>
  <c r="R31" i="6"/>
  <c r="Q31" i="6"/>
  <c r="Q36" i="6" s="1"/>
  <c r="R27" i="6"/>
  <c r="Q27" i="6"/>
  <c r="R23" i="6"/>
  <c r="Q23" i="6"/>
  <c r="R19" i="6"/>
  <c r="Q19" i="6"/>
  <c r="X9" i="6"/>
  <c r="W9" i="6"/>
  <c r="U8" i="8"/>
  <c r="T8" i="8"/>
  <c r="R32" i="6"/>
  <c r="R28" i="6"/>
  <c r="R24" i="6"/>
  <c r="R20" i="6"/>
  <c r="R16" i="6"/>
  <c r="X10" i="6"/>
  <c r="AN10" i="14"/>
  <c r="I12" i="14"/>
  <c r="I14" i="14" s="1"/>
  <c r="S34" i="6"/>
  <c r="V31" i="6"/>
  <c r="S30" i="6"/>
  <c r="V27" i="6"/>
  <c r="AG27" i="6" s="1"/>
  <c r="S26" i="6"/>
  <c r="V23" i="6"/>
  <c r="S22" i="6"/>
  <c r="V19" i="6"/>
  <c r="AG19" i="6" s="1"/>
  <c r="S18" i="6"/>
  <c r="V15" i="6"/>
  <c r="AG15" i="6" s="1"/>
  <c r="S14" i="6"/>
  <c r="V11" i="6"/>
  <c r="AG11" i="6" s="1"/>
  <c r="S10" i="6"/>
  <c r="W32" i="6"/>
  <c r="T31" i="6"/>
  <c r="W28" i="6"/>
  <c r="T27" i="6"/>
  <c r="W24" i="6"/>
  <c r="T23" i="6"/>
  <c r="W20" i="6"/>
  <c r="T19" i="6"/>
  <c r="W16" i="6"/>
  <c r="T15" i="6"/>
  <c r="W12" i="6"/>
  <c r="T11" i="6"/>
  <c r="J60" i="27"/>
  <c r="I60" i="27"/>
  <c r="K60" i="27"/>
  <c r="H60" i="27"/>
  <c r="P8" i="8"/>
  <c r="P15" i="8" s="1"/>
  <c r="X13" i="6"/>
  <c r="R11" i="6"/>
  <c r="X33" i="6"/>
  <c r="X29" i="6"/>
  <c r="X25" i="6"/>
  <c r="X21" i="6"/>
  <c r="X17" i="6"/>
  <c r="R15" i="6"/>
  <c r="AK33" i="33" l="1"/>
  <c r="DM20" i="26"/>
  <c r="GX29" i="26"/>
  <c r="AK32" i="33"/>
  <c r="AJ32" i="33"/>
  <c r="EY18" i="26"/>
  <c r="FQ15" i="26" s="1"/>
  <c r="D8" i="45" s="1"/>
  <c r="D113" i="45" s="1"/>
  <c r="HB29" i="26"/>
  <c r="HK29" i="26" s="1"/>
  <c r="IC29" i="26" s="1"/>
  <c r="AJ35" i="33"/>
  <c r="AK35" i="33"/>
  <c r="DO20" i="26"/>
  <c r="GZ29" i="26"/>
  <c r="AH36" i="33"/>
  <c r="AJ36" i="33" s="1"/>
  <c r="DN20" i="26"/>
  <c r="GY29" i="26"/>
  <c r="FA18" i="26"/>
  <c r="FS15" i="26" s="1"/>
  <c r="F8" i="45" s="1"/>
  <c r="F113" i="45" s="1"/>
  <c r="FC18" i="26"/>
  <c r="FU15" i="26" s="1"/>
  <c r="H8" i="45" s="1"/>
  <c r="H113" i="45" s="1"/>
  <c r="U17" i="8"/>
  <c r="Y17" i="8"/>
  <c r="V15" i="8"/>
  <c r="V17" i="8"/>
  <c r="Z17" i="8"/>
  <c r="W15" i="8"/>
  <c r="W17" i="8"/>
  <c r="AA17" i="8"/>
  <c r="T15" i="8"/>
  <c r="T17" i="8"/>
  <c r="X17" i="8"/>
  <c r="DP20" i="26"/>
  <c r="DQ20" i="26"/>
  <c r="CY20" i="26"/>
  <c r="DC20" i="26"/>
  <c r="DR20" i="26"/>
  <c r="CZ20" i="26"/>
  <c r="DD20" i="26"/>
  <c r="DS20" i="26"/>
  <c r="DA20" i="26"/>
  <c r="DE20" i="26"/>
  <c r="DT22" i="26"/>
  <c r="DB22" i="26"/>
  <c r="BN39" i="27"/>
  <c r="X36" i="6"/>
  <c r="AE8" i="8"/>
  <c r="U15" i="8"/>
  <c r="Q37" i="6"/>
  <c r="T37" i="6"/>
  <c r="R37" i="6"/>
  <c r="W37" i="6"/>
  <c r="X37" i="6"/>
  <c r="R36" i="6"/>
  <c r="S37" i="6"/>
  <c r="S36" i="6"/>
  <c r="V36" i="6"/>
  <c r="W36" i="6"/>
  <c r="AG28" i="6"/>
  <c r="V37" i="6"/>
  <c r="T36" i="6"/>
  <c r="BP40" i="27"/>
  <c r="BO40" i="27"/>
  <c r="AD46" i="27"/>
  <c r="AD48" i="27"/>
  <c r="BN40" i="27"/>
  <c r="AE46" i="27"/>
  <c r="AE48" i="27"/>
  <c r="BO39" i="27"/>
  <c r="BP39" i="27"/>
  <c r="AM155" i="27"/>
  <c r="EC22" i="26"/>
  <c r="EO22" i="26" s="1"/>
  <c r="CS20" i="26"/>
  <c r="GX281" i="26"/>
  <c r="GX282" i="26" s="1"/>
  <c r="GX70" i="26" s="1"/>
  <c r="ED21" i="26"/>
  <c r="EP21" i="26" s="1"/>
  <c r="ID14" i="26"/>
  <c r="EE22" i="26"/>
  <c r="EQ22" i="26" s="1"/>
  <c r="ED24" i="26"/>
  <c r="EP24" i="26" s="1"/>
  <c r="ED22" i="26"/>
  <c r="EP22" i="26" s="1"/>
  <c r="V12" i="14"/>
  <c r="V14" i="14" s="1"/>
  <c r="W12" i="14"/>
  <c r="AH8" i="8"/>
  <c r="BS42" i="4"/>
  <c r="ED23" i="26"/>
  <c r="EP23" i="26" s="1"/>
  <c r="K51" i="27"/>
  <c r="K71" i="27"/>
  <c r="K57" i="27"/>
  <c r="AN57" i="27" s="1"/>
  <c r="K44" i="27"/>
  <c r="AN44" i="27" s="1"/>
  <c r="O51" i="27"/>
  <c r="O71" i="27"/>
  <c r="EE23" i="26"/>
  <c r="EQ23" i="26" s="1"/>
  <c r="EE21" i="26"/>
  <c r="EQ21" i="26" s="1"/>
  <c r="BT39" i="4"/>
  <c r="BT29" i="4"/>
  <c r="BT16" i="4"/>
  <c r="AJ33" i="6"/>
  <c r="BT31" i="4"/>
  <c r="AJ32" i="6"/>
  <c r="AJ16" i="6"/>
  <c r="AJ22" i="6"/>
  <c r="AH31" i="6"/>
  <c r="AH36" i="6" s="1"/>
  <c r="AR28" i="6"/>
  <c r="AR37" i="6" s="1"/>
  <c r="BR36" i="4"/>
  <c r="AQ10" i="14"/>
  <c r="AI8" i="14"/>
  <c r="AQ8" i="14" s="1"/>
  <c r="AQ9" i="14"/>
  <c r="AP11" i="14"/>
  <c r="AP10" i="14"/>
  <c r="AP9" i="14"/>
  <c r="AJ8" i="14"/>
  <c r="AR8" i="14" s="1"/>
  <c r="AQ11" i="14"/>
  <c r="AH8" i="14"/>
  <c r="AP8" i="14" s="1"/>
  <c r="AG8" i="8"/>
  <c r="AI8" i="8"/>
  <c r="AJ9" i="6"/>
  <c r="AT9" i="6" s="1"/>
  <c r="AJ18" i="6"/>
  <c r="AJ13" i="6"/>
  <c r="AI13" i="6"/>
  <c r="AS13" i="6" s="1"/>
  <c r="AI9" i="6"/>
  <c r="AS9" i="6" s="1"/>
  <c r="AI20" i="6"/>
  <c r="AS20" i="6" s="1"/>
  <c r="AJ10" i="6"/>
  <c r="AI10" i="6"/>
  <c r="AS10" i="6" s="1"/>
  <c r="AI21" i="6"/>
  <c r="AS21" i="6" s="1"/>
  <c r="AK9" i="6"/>
  <c r="AU9" i="6" s="1"/>
  <c r="AI32" i="6"/>
  <c r="AS32" i="6" s="1"/>
  <c r="AI15" i="6"/>
  <c r="AS15" i="6" s="1"/>
  <c r="AJ14" i="6"/>
  <c r="AJ11" i="6"/>
  <c r="AI27" i="6"/>
  <c r="AS27" i="6" s="1"/>
  <c r="AJ15" i="6"/>
  <c r="AI19" i="6"/>
  <c r="AS19" i="6" s="1"/>
  <c r="AI33" i="6"/>
  <c r="AS33" i="6" s="1"/>
  <c r="AI18" i="6"/>
  <c r="AS18" i="6" s="1"/>
  <c r="AI16" i="6"/>
  <c r="AS16" i="6" s="1"/>
  <c r="AJ27" i="6"/>
  <c r="AJ21" i="6"/>
  <c r="AI25" i="6"/>
  <c r="AS25" i="6" s="1"/>
  <c r="AI11" i="6"/>
  <c r="AS11" i="6" s="1"/>
  <c r="AJ19" i="6"/>
  <c r="AJ20" i="6"/>
  <c r="AJ24" i="6"/>
  <c r="AI14" i="6"/>
  <c r="AS14" i="6" s="1"/>
  <c r="AI22" i="6"/>
  <c r="AS22" i="6" s="1"/>
  <c r="AJ28" i="6"/>
  <c r="AJ25" i="6"/>
  <c r="AI24" i="6"/>
  <c r="AS24" i="6" s="1"/>
  <c r="AI28" i="6"/>
  <c r="BS30" i="4"/>
  <c r="BT11" i="4"/>
  <c r="BS11" i="4"/>
  <c r="BS29" i="4"/>
  <c r="BS17" i="4"/>
  <c r="BT25" i="4"/>
  <c r="BT20" i="4"/>
  <c r="BT19" i="4"/>
  <c r="BT32" i="4"/>
  <c r="BU39" i="4"/>
  <c r="BT43" i="4"/>
  <c r="BT17" i="4"/>
  <c r="BU42" i="4"/>
  <c r="BT35" i="4"/>
  <c r="BT13" i="4"/>
  <c r="BT33" i="4"/>
  <c r="BT18" i="4"/>
  <c r="BU11" i="4"/>
  <c r="BS13" i="4"/>
  <c r="BS22" i="4"/>
  <c r="BT26" i="4"/>
  <c r="BT34" i="4"/>
  <c r="BT14" i="4"/>
  <c r="BS26" i="4"/>
  <c r="BS35" i="4"/>
  <c r="BS20" i="4"/>
  <c r="BT23" i="4"/>
  <c r="BT12" i="4"/>
  <c r="BS31" i="4"/>
  <c r="BT27" i="4"/>
  <c r="BS12" i="4"/>
  <c r="BS32" i="4"/>
  <c r="BT30" i="4"/>
  <c r="BS21" i="4"/>
  <c r="BS34" i="4"/>
  <c r="BS15" i="4"/>
  <c r="BT22" i="4"/>
  <c r="BS14" i="4"/>
  <c r="BS18" i="4"/>
  <c r="BS23" i="4"/>
  <c r="BT15" i="4"/>
  <c r="BS16" i="4"/>
  <c r="BS27" i="4"/>
  <c r="BS33" i="4"/>
  <c r="BS25" i="4"/>
  <c r="BS43" i="4"/>
  <c r="EE24" i="26"/>
  <c r="EQ24" i="26" s="1"/>
  <c r="AF10" i="33"/>
  <c r="BF10" i="33"/>
  <c r="BW10" i="33"/>
  <c r="AJ10" i="33"/>
  <c r="BS10" i="33"/>
  <c r="AL133" i="27"/>
  <c r="AL129" i="27"/>
  <c r="AM129" i="27"/>
  <c r="AM133" i="27"/>
  <c r="AN129" i="27"/>
  <c r="AN133" i="27"/>
  <c r="EB20" i="26"/>
  <c r="EN20" i="26" s="1"/>
  <c r="BJ10" i="33"/>
  <c r="BT42" i="4"/>
  <c r="AK22" i="6"/>
  <c r="AK14" i="6"/>
  <c r="BU16" i="4"/>
  <c r="BU19" i="4"/>
  <c r="BU13" i="4"/>
  <c r="BU15" i="4"/>
  <c r="BT40" i="4"/>
  <c r="BU26" i="4"/>
  <c r="BU32" i="4"/>
  <c r="BU12" i="4"/>
  <c r="BU18" i="4"/>
  <c r="BU31" i="4"/>
  <c r="BT21" i="4"/>
  <c r="BU20" i="4"/>
  <c r="AK33" i="6"/>
  <c r="BU35" i="4"/>
  <c r="BU27" i="4"/>
  <c r="AK21" i="6"/>
  <c r="BU14" i="4"/>
  <c r="BU33" i="4"/>
  <c r="AK18" i="6"/>
  <c r="BU34" i="4"/>
  <c r="BU40" i="4"/>
  <c r="AR11" i="14"/>
  <c r="BU29" i="4"/>
  <c r="AK10" i="6"/>
  <c r="AK24" i="6"/>
  <c r="BU43" i="4"/>
  <c r="BU38" i="4"/>
  <c r="AK13" i="6"/>
  <c r="BU25" i="4"/>
  <c r="BU30" i="4"/>
  <c r="AK25" i="6"/>
  <c r="AK32" i="6"/>
  <c r="AK15" i="6"/>
  <c r="AK19" i="6"/>
  <c r="AK28" i="6"/>
  <c r="BU17" i="4"/>
  <c r="AR9" i="14"/>
  <c r="BT38" i="4"/>
  <c r="BU22" i="4"/>
  <c r="BU41" i="4"/>
  <c r="AK27" i="6"/>
  <c r="BU23" i="4"/>
  <c r="BU21" i="4"/>
  <c r="AK11" i="6"/>
  <c r="AK16" i="6"/>
  <c r="AK20" i="6"/>
  <c r="AR10" i="14"/>
  <c r="GG15" i="26" l="1"/>
  <c r="GK15" i="26"/>
  <c r="GI15" i="26"/>
  <c r="AK36" i="33"/>
  <c r="HM29" i="26"/>
  <c r="IE29" i="26" s="1"/>
  <c r="EZ18" i="26"/>
  <c r="FR15" i="26" s="1"/>
  <c r="E8" i="45" s="1"/>
  <c r="E113" i="45" s="1"/>
  <c r="HE29" i="26"/>
  <c r="HO29" i="26"/>
  <c r="IG29" i="26" s="1"/>
  <c r="FH17" i="26"/>
  <c r="FL17" i="26"/>
  <c r="FJ17" i="26"/>
  <c r="FB18" i="26"/>
  <c r="FT15" i="26" s="1"/>
  <c r="G8" i="45" s="1"/>
  <c r="G113" i="45" s="1"/>
  <c r="DT20" i="26"/>
  <c r="DB20" i="26"/>
  <c r="AO8" i="8"/>
  <c r="AO15" i="8" s="1"/>
  <c r="AG22" i="8"/>
  <c r="AG15" i="8"/>
  <c r="AE22" i="8"/>
  <c r="AE15" i="8"/>
  <c r="AI22" i="8"/>
  <c r="AI15" i="8"/>
  <c r="AH22" i="8"/>
  <c r="AH15" i="8"/>
  <c r="AI12" i="14"/>
  <c r="W14" i="14"/>
  <c r="AG31" i="6"/>
  <c r="AG37" i="6"/>
  <c r="AK31" i="6"/>
  <c r="AK36" i="6" s="1"/>
  <c r="AK37" i="6"/>
  <c r="AI37" i="6"/>
  <c r="AJ31" i="6"/>
  <c r="AJ36" i="6" s="1"/>
  <c r="AJ37" i="6"/>
  <c r="EC20" i="26"/>
  <c r="EO20" i="26" s="1"/>
  <c r="IC14" i="26"/>
  <c r="AF12" i="14"/>
  <c r="AJ12" i="14"/>
  <c r="AH12" i="14"/>
  <c r="ED20" i="26"/>
  <c r="EP20" i="26" s="1"/>
  <c r="AN155" i="27"/>
  <c r="AN86" i="27"/>
  <c r="AN137" i="27" s="1"/>
  <c r="AH34" i="6"/>
  <c r="AR34" i="6" s="1"/>
  <c r="AR31" i="6"/>
  <c r="AR36" i="6" s="1"/>
  <c r="BS36" i="4"/>
  <c r="AI31" i="6"/>
  <c r="AS28" i="6"/>
  <c r="AS37" i="6" s="1"/>
  <c r="BU36" i="4"/>
  <c r="BT36" i="4"/>
  <c r="IF14" i="26"/>
  <c r="EE20" i="26"/>
  <c r="EQ20" i="26" s="1"/>
  <c r="IG14" i="26"/>
  <c r="BC11" i="26"/>
  <c r="HW74" i="26" s="1"/>
  <c r="BB11" i="26"/>
  <c r="HV74" i="26" s="1"/>
  <c r="P54" i="27"/>
  <c r="P31" i="27" s="1"/>
  <c r="P53" i="27"/>
  <c r="P29" i="27" s="1"/>
  <c r="N54" i="27"/>
  <c r="N31" i="27" s="1"/>
  <c r="N53" i="27"/>
  <c r="N29" i="27" s="1"/>
  <c r="M87" i="26"/>
  <c r="M89" i="26" s="1"/>
  <c r="M54" i="27"/>
  <c r="M31" i="27" s="1"/>
  <c r="M53" i="27"/>
  <c r="M29" i="27" s="1"/>
  <c r="AY40" i="26"/>
  <c r="HS75" i="26" s="1"/>
  <c r="HS78" i="26" s="1"/>
  <c r="L87" i="26"/>
  <c r="L89" i="26" s="1"/>
  <c r="K87" i="26"/>
  <c r="K89" i="26" s="1"/>
  <c r="FI17" i="26" l="1"/>
  <c r="GH15" i="26"/>
  <c r="GJ15" i="26"/>
  <c r="HL29" i="26"/>
  <c r="ID29" i="26" s="1"/>
  <c r="HN29" i="26"/>
  <c r="IF29" i="26" s="1"/>
  <c r="FK17" i="26"/>
  <c r="AP12" i="14"/>
  <c r="AP14" i="14" s="1"/>
  <c r="AH14" i="14"/>
  <c r="AH21" i="14"/>
  <c r="AR12" i="14"/>
  <c r="AR14" i="14" s="1"/>
  <c r="AJ14" i="14"/>
  <c r="AJ21" i="14"/>
  <c r="AQ12" i="14"/>
  <c r="AQ14" i="14" s="1"/>
  <c r="AI14" i="14"/>
  <c r="AN12" i="14"/>
  <c r="AN14" i="14" s="1"/>
  <c r="AF14" i="14"/>
  <c r="BB95" i="26"/>
  <c r="AH20" i="8"/>
  <c r="AI18" i="14"/>
  <c r="AI20" i="18"/>
  <c r="BC95" i="26"/>
  <c r="AI20" i="8"/>
  <c r="AJ18" i="14"/>
  <c r="AJ20" i="18"/>
  <c r="AS31" i="6"/>
  <c r="AS36" i="6" s="1"/>
  <c r="AI36" i="6"/>
  <c r="AJ34" i="6"/>
  <c r="AK34" i="6"/>
  <c r="AG36" i="6"/>
  <c r="AG34" i="6"/>
  <c r="AI34" i="6"/>
  <c r="AS34" i="6" s="1"/>
  <c r="AO157" i="27"/>
  <c r="AO156" i="27"/>
  <c r="EF11" i="26"/>
  <c r="HW48" i="26" s="1"/>
  <c r="BL11" i="26"/>
  <c r="EE11" i="26"/>
  <c r="HV48" i="26" s="1"/>
  <c r="BK11" i="26"/>
  <c r="O87" i="26"/>
  <c r="O89" i="26" s="1"/>
  <c r="AY28" i="26"/>
  <c r="AY45" i="26"/>
  <c r="L53" i="27"/>
  <c r="L29" i="27" s="1"/>
  <c r="L54" i="27"/>
  <c r="L31" i="27" s="1"/>
  <c r="AY29" i="26"/>
  <c r="AY14" i="26"/>
  <c r="AY56" i="26"/>
  <c r="BH56" i="26" s="1"/>
  <c r="AY41" i="26"/>
  <c r="AY49" i="26"/>
  <c r="AY16" i="26"/>
  <c r="AY34" i="26"/>
  <c r="AY13" i="26"/>
  <c r="AY31" i="26"/>
  <c r="AY19" i="26"/>
  <c r="AY38" i="26"/>
  <c r="AY55" i="26"/>
  <c r="AY57" i="26" s="1"/>
  <c r="AX17" i="26"/>
  <c r="AX51" i="26"/>
  <c r="IZ51" i="26" s="1"/>
  <c r="AX52" i="26"/>
  <c r="IZ52" i="26" s="1"/>
  <c r="AT157" i="27"/>
  <c r="AX14" i="26"/>
  <c r="AX49" i="26"/>
  <c r="IZ49" i="26" s="1"/>
  <c r="JA49" i="26" s="1"/>
  <c r="AY51" i="26"/>
  <c r="AY35" i="26"/>
  <c r="AY52" i="26"/>
  <c r="AX28" i="26"/>
  <c r="AT156" i="27"/>
  <c r="AY37" i="26"/>
  <c r="K54" i="27"/>
  <c r="K31" i="27" s="1"/>
  <c r="K53" i="27"/>
  <c r="K29" i="27" s="1"/>
  <c r="J54" i="27"/>
  <c r="J31" i="27" s="1"/>
  <c r="J53" i="27"/>
  <c r="J29" i="27" s="1"/>
  <c r="I87" i="26"/>
  <c r="I89" i="26" s="1"/>
  <c r="I54" i="27"/>
  <c r="I31" i="27" s="1"/>
  <c r="I53" i="27"/>
  <c r="I29" i="27" s="1"/>
  <c r="H87" i="26"/>
  <c r="H89" i="26" s="1"/>
  <c r="G87" i="26"/>
  <c r="G89" i="26" s="1"/>
  <c r="BH41" i="26" l="1"/>
  <c r="HS76" i="26"/>
  <c r="HS79" i="26" s="1"/>
  <c r="EF95" i="26"/>
  <c r="EF88" i="26"/>
  <c r="EE95" i="26"/>
  <c r="EE88" i="26"/>
  <c r="AY71" i="26"/>
  <c r="AY63" i="26"/>
  <c r="BH55" i="26"/>
  <c r="AY72" i="26"/>
  <c r="AY61" i="26"/>
  <c r="ER11" i="26"/>
  <c r="EQ11" i="26"/>
  <c r="AO158" i="27"/>
  <c r="AX31" i="26"/>
  <c r="AX35" i="26"/>
  <c r="AT158" i="27"/>
  <c r="AX29" i="26"/>
  <c r="AX19" i="26"/>
  <c r="AX34" i="26"/>
  <c r="AX46" i="26"/>
  <c r="IZ46" i="26" s="1"/>
  <c r="JA46" i="26" s="1"/>
  <c r="EB26" i="26"/>
  <c r="EN26" i="26" s="1"/>
  <c r="AY26" i="26"/>
  <c r="AP157" i="27"/>
  <c r="AY33" i="26"/>
  <c r="EB15" i="26"/>
  <c r="EN15" i="26" s="1"/>
  <c r="AY15" i="26"/>
  <c r="AX37" i="26"/>
  <c r="IZ37" i="26" s="1"/>
  <c r="EA15" i="26"/>
  <c r="AX15" i="26"/>
  <c r="IZ15" i="26" s="1"/>
  <c r="CO90" i="26"/>
  <c r="CO33" i="26" s="1"/>
  <c r="EA18" i="26"/>
  <c r="AX18" i="26"/>
  <c r="IZ18" i="26" s="1"/>
  <c r="AX42" i="26"/>
  <c r="AQ157" i="27"/>
  <c r="AY47" i="26"/>
  <c r="AQ156" i="27"/>
  <c r="AX30" i="26"/>
  <c r="IZ30" i="26" s="1"/>
  <c r="AX50" i="26"/>
  <c r="IZ50" i="26" s="1"/>
  <c r="AY48" i="26"/>
  <c r="AP156" i="27"/>
  <c r="AY30" i="26"/>
  <c r="ED32" i="26"/>
  <c r="EP32" i="26" s="1"/>
  <c r="AY32" i="26"/>
  <c r="AX40" i="26"/>
  <c r="AX16" i="26"/>
  <c r="BG16" i="26" s="1"/>
  <c r="EB27" i="26"/>
  <c r="EN27" i="26" s="1"/>
  <c r="AY27" i="26"/>
  <c r="AF19" i="14" s="1"/>
  <c r="AF21" i="14" s="1"/>
  <c r="AX38" i="26"/>
  <c r="IZ38" i="26" s="1"/>
  <c r="JG38" i="26" s="1"/>
  <c r="AY53" i="26"/>
  <c r="BH57" i="26" s="1"/>
  <c r="EB18" i="26"/>
  <c r="EN18" i="26" s="1"/>
  <c r="AY18" i="26"/>
  <c r="AX56" i="26"/>
  <c r="AS157" i="27"/>
  <c r="AX48" i="26"/>
  <c r="IZ48" i="26" s="1"/>
  <c r="JA48" i="26" s="1"/>
  <c r="ED50" i="26"/>
  <c r="AY50" i="26"/>
  <c r="AX45" i="26"/>
  <c r="AX41" i="26"/>
  <c r="AX53" i="26"/>
  <c r="IZ53" i="26" s="1"/>
  <c r="AX13" i="26"/>
  <c r="AX27" i="26"/>
  <c r="IZ32" i="26"/>
  <c r="AY46" i="26"/>
  <c r="AX26" i="26"/>
  <c r="IZ26" i="26" s="1"/>
  <c r="AS156" i="27"/>
  <c r="AX33" i="26"/>
  <c r="IZ33" i="26" s="1"/>
  <c r="AX55" i="26"/>
  <c r="AX57" i="26" s="1"/>
  <c r="AX47" i="26"/>
  <c r="IZ47" i="26" s="1"/>
  <c r="JA47" i="26" s="1"/>
  <c r="BI17" i="26"/>
  <c r="GW57" i="26"/>
  <c r="AB87" i="26"/>
  <c r="AB89" i="26" s="1"/>
  <c r="Y87" i="26"/>
  <c r="Y89" i="26" s="1"/>
  <c r="X87" i="26"/>
  <c r="X89" i="26" s="1"/>
  <c r="AC87" i="26"/>
  <c r="AC89" i="26" s="1"/>
  <c r="Z87" i="26"/>
  <c r="Z89" i="26" s="1"/>
  <c r="GW44" i="26"/>
  <c r="H54" i="27"/>
  <c r="H31" i="27" s="1"/>
  <c r="CL90" i="26"/>
  <c r="CL33" i="26" s="1"/>
  <c r="EB16" i="26"/>
  <c r="EN16" i="26" s="1"/>
  <c r="AL156" i="27"/>
  <c r="CM90" i="26"/>
  <c r="CM33" i="26" s="1"/>
  <c r="AN157" i="27"/>
  <c r="AM156" i="27"/>
  <c r="CN90" i="26"/>
  <c r="CN33" i="26" s="1"/>
  <c r="AM157" i="27"/>
  <c r="AL157" i="27"/>
  <c r="AN156" i="27"/>
  <c r="IZ41" i="26" l="1"/>
  <c r="HR76" i="26"/>
  <c r="HR79" i="26" s="1"/>
  <c r="IZ42" i="26"/>
  <c r="JG42" i="26" s="1"/>
  <c r="HR77" i="26"/>
  <c r="HR80" i="26" s="1"/>
  <c r="IZ40" i="26"/>
  <c r="HR75" i="26"/>
  <c r="HR78" i="26" s="1"/>
  <c r="IZ27" i="26"/>
  <c r="AE19" i="14"/>
  <c r="AE21" i="14" s="1"/>
  <c r="IZ45" i="26"/>
  <c r="AX65" i="26"/>
  <c r="CM34" i="26"/>
  <c r="CM41" i="26" s="1"/>
  <c r="DN33" i="26"/>
  <c r="ED51" i="26"/>
  <c r="EP51" i="26" s="1"/>
  <c r="EP50" i="26"/>
  <c r="JB18" i="26"/>
  <c r="JA18" i="26" s="1"/>
  <c r="EM18" i="26"/>
  <c r="CO34" i="26"/>
  <c r="CO41" i="26" s="1"/>
  <c r="DP33" i="26"/>
  <c r="CL34" i="26"/>
  <c r="CL41" i="26" s="1"/>
  <c r="DM33" i="26"/>
  <c r="JB15" i="26"/>
  <c r="JA15" i="26" s="1"/>
  <c r="EM15" i="26"/>
  <c r="CN34" i="26"/>
  <c r="CN41" i="26" s="1"/>
  <c r="DO33" i="26"/>
  <c r="IZ16" i="26"/>
  <c r="AY65" i="26"/>
  <c r="IZ57" i="26"/>
  <c r="IZ55" i="26"/>
  <c r="BG56" i="26"/>
  <c r="IZ56" i="26"/>
  <c r="HB13" i="26"/>
  <c r="HK13" i="26" s="1"/>
  <c r="HE13" i="26"/>
  <c r="HC13" i="26"/>
  <c r="HF13" i="26"/>
  <c r="HJ13" i="26" s="1"/>
  <c r="HA13" i="26"/>
  <c r="AY62" i="26"/>
  <c r="IB57" i="26"/>
  <c r="IC56" i="26"/>
  <c r="AX71" i="26"/>
  <c r="AY64" i="26"/>
  <c r="AY73" i="26"/>
  <c r="AX63" i="26"/>
  <c r="AX61" i="26"/>
  <c r="AX60" i="26"/>
  <c r="AX72" i="26"/>
  <c r="AX64" i="26"/>
  <c r="BG57" i="26"/>
  <c r="AX62" i="26"/>
  <c r="AY76" i="26"/>
  <c r="AY75" i="26"/>
  <c r="AX76" i="26"/>
  <c r="AX75" i="26"/>
  <c r="EC15" i="26"/>
  <c r="EO15" i="26" s="1"/>
  <c r="ED27" i="26"/>
  <c r="EP27" i="26" s="1"/>
  <c r="ED18" i="26"/>
  <c r="EP18" i="26" s="1"/>
  <c r="ED26" i="26"/>
  <c r="EP26" i="26" s="1"/>
  <c r="ED16" i="26"/>
  <c r="EP16" i="26" s="1"/>
  <c r="EC26" i="26"/>
  <c r="EO26" i="26" s="1"/>
  <c r="EC50" i="26"/>
  <c r="EC18" i="26"/>
  <c r="EO18" i="26" s="1"/>
  <c r="EC16" i="26"/>
  <c r="EO16" i="26" s="1"/>
  <c r="EC27" i="26"/>
  <c r="EO27" i="26" s="1"/>
  <c r="CS90" i="26"/>
  <c r="CS33" i="26" s="1"/>
  <c r="EC32" i="26"/>
  <c r="EO32" i="26" s="1"/>
  <c r="ED15" i="26"/>
  <c r="EP15" i="26" s="1"/>
  <c r="AS158" i="27"/>
  <c r="EA28" i="26"/>
  <c r="EB28" i="26"/>
  <c r="EN28" i="26" s="1"/>
  <c r="AQ158" i="27"/>
  <c r="AP158" i="27"/>
  <c r="CQ90" i="26"/>
  <c r="CQ33" i="26" s="1"/>
  <c r="EA32" i="26"/>
  <c r="CT90" i="26"/>
  <c r="CT33" i="26" s="1"/>
  <c r="EA50" i="26"/>
  <c r="EA16" i="26"/>
  <c r="EA27" i="26"/>
  <c r="EA26" i="26"/>
  <c r="CP90" i="26"/>
  <c r="CP33" i="26" s="1"/>
  <c r="EB32" i="26"/>
  <c r="EN32" i="26" s="1"/>
  <c r="EB50" i="26"/>
  <c r="V87" i="26"/>
  <c r="V89" i="26" s="1"/>
  <c r="U87" i="26"/>
  <c r="U89" i="26" s="1"/>
  <c r="W87" i="26"/>
  <c r="W89" i="26" s="1"/>
  <c r="T87" i="26"/>
  <c r="AN158" i="27"/>
  <c r="AL158" i="27"/>
  <c r="AM158" i="27"/>
  <c r="EX13" i="26" l="1"/>
  <c r="FP14" i="26" s="1"/>
  <c r="HJ321" i="26"/>
  <c r="HJ319" i="26" s="1"/>
  <c r="EY13" i="26"/>
  <c r="FH13" i="26" s="1"/>
  <c r="HK321" i="26"/>
  <c r="HK319" i="26" s="1"/>
  <c r="T89" i="26"/>
  <c r="GW13" i="26"/>
  <c r="HL13" i="26"/>
  <c r="HM13" i="26"/>
  <c r="HM321" i="26" s="1"/>
  <c r="HM319" i="26" s="1"/>
  <c r="EA51" i="26"/>
  <c r="EM50" i="26"/>
  <c r="JB50" i="26"/>
  <c r="JA50" i="26" s="1"/>
  <c r="CS34" i="26"/>
  <c r="CS41" i="26" s="1"/>
  <c r="DT33" i="26"/>
  <c r="DN41" i="26"/>
  <c r="DN34" i="26"/>
  <c r="EO50" i="26"/>
  <c r="EC51" i="26"/>
  <c r="EO51" i="26" s="1"/>
  <c r="EN50" i="26"/>
  <c r="EB51" i="26"/>
  <c r="EN51" i="26" s="1"/>
  <c r="DM41" i="26"/>
  <c r="DM34" i="26"/>
  <c r="CP34" i="26"/>
  <c r="CP41" i="26" s="1"/>
  <c r="DQ33" i="26"/>
  <c r="DP41" i="26"/>
  <c r="DP34" i="26"/>
  <c r="JB26" i="26"/>
  <c r="JA26" i="26" s="1"/>
  <c r="EM26" i="26"/>
  <c r="EM28" i="26"/>
  <c r="JB28" i="26"/>
  <c r="JB27" i="26"/>
  <c r="JA27" i="26" s="1"/>
  <c r="EM27" i="26"/>
  <c r="DO41" i="26"/>
  <c r="DO34" i="26"/>
  <c r="CT34" i="26"/>
  <c r="CT41" i="26" s="1"/>
  <c r="DU33" i="26"/>
  <c r="EM32" i="26"/>
  <c r="JB32" i="26"/>
  <c r="JA32" i="26" s="1"/>
  <c r="CQ34" i="26"/>
  <c r="CQ41" i="26" s="1"/>
  <c r="DR33" i="26"/>
  <c r="EM16" i="26"/>
  <c r="JB16" i="26"/>
  <c r="GX13" i="26"/>
  <c r="GZ13" i="26"/>
  <c r="GY13" i="26"/>
  <c r="AX77" i="26"/>
  <c r="IB61" i="26"/>
  <c r="IB58" i="26"/>
  <c r="IB60" i="26"/>
  <c r="EX34" i="26"/>
  <c r="FW16" i="26" s="1"/>
  <c r="J7" i="45" s="1"/>
  <c r="IB13" i="26"/>
  <c r="IB72" i="26"/>
  <c r="AX73" i="26"/>
  <c r="EX35" i="26"/>
  <c r="AY77" i="26"/>
  <c r="ED28" i="26"/>
  <c r="EP28" i="26" s="1"/>
  <c r="EC28" i="26"/>
  <c r="EO28" i="26" s="1"/>
  <c r="EA52" i="26"/>
  <c r="AX11" i="4"/>
  <c r="BG11" i="4" s="1"/>
  <c r="AX10" i="4"/>
  <c r="BG10" i="4" s="1"/>
  <c r="AX9" i="4"/>
  <c r="BG9" i="4" s="1"/>
  <c r="AW11" i="4"/>
  <c r="BF11" i="4" s="1"/>
  <c r="AW10" i="4"/>
  <c r="BF10" i="4" s="1"/>
  <c r="AN17" i="22"/>
  <c r="AN16" i="22"/>
  <c r="AN9" i="22"/>
  <c r="AN10" i="22"/>
  <c r="AN11" i="22"/>
  <c r="AN8" i="22"/>
  <c r="AM16" i="22"/>
  <c r="AM14" i="22"/>
  <c r="AM13" i="22"/>
  <c r="AM10" i="22"/>
  <c r="AM11" i="22"/>
  <c r="AM9" i="22"/>
  <c r="AM8" i="22"/>
  <c r="J12" i="45" l="1"/>
  <c r="J112" i="45" s="1"/>
  <c r="J9" i="45"/>
  <c r="FQ14" i="26"/>
  <c r="FX14" i="26" s="1"/>
  <c r="EZ13" i="26"/>
  <c r="FR14" i="26" s="1"/>
  <c r="HL321" i="26"/>
  <c r="HL319" i="26" s="1"/>
  <c r="GM16" i="26"/>
  <c r="FG34" i="26"/>
  <c r="FW18" i="26"/>
  <c r="GF14" i="26"/>
  <c r="FG33" i="26"/>
  <c r="FW14" i="26"/>
  <c r="AN26" i="22"/>
  <c r="IE13" i="26"/>
  <c r="FA13" i="26"/>
  <c r="DR41" i="26"/>
  <c r="DR34" i="26"/>
  <c r="EM52" i="26"/>
  <c r="JB52" i="26"/>
  <c r="JA52" i="26" s="1"/>
  <c r="DT41" i="26"/>
  <c r="DT34" i="26"/>
  <c r="DU41" i="26"/>
  <c r="DU34" i="26"/>
  <c r="DQ41" i="26"/>
  <c r="DQ34" i="26"/>
  <c r="JB51" i="26"/>
  <c r="JA51" i="26" s="1"/>
  <c r="EM51" i="26"/>
  <c r="JA16" i="26"/>
  <c r="IC57" i="26"/>
  <c r="IB59" i="26"/>
  <c r="IB56" i="26"/>
  <c r="EC52" i="26"/>
  <c r="EO52" i="26" s="1"/>
  <c r="EB52" i="26"/>
  <c r="EN52" i="26" s="1"/>
  <c r="ED52" i="26"/>
  <c r="EP52" i="26" s="1"/>
  <c r="AW12" i="4"/>
  <c r="BF12" i="4" s="1"/>
  <c r="AX12" i="4"/>
  <c r="BG12" i="4" s="1"/>
  <c r="W6" i="10"/>
  <c r="AA41" i="27"/>
  <c r="AA40" i="27"/>
  <c r="AA39" i="27"/>
  <c r="AA38" i="27"/>
  <c r="AA37" i="27"/>
  <c r="AA36" i="27"/>
  <c r="AA35" i="27"/>
  <c r="AA34" i="27"/>
  <c r="AA32" i="27"/>
  <c r="AA30" i="27"/>
  <c r="AA28" i="27"/>
  <c r="AA27" i="27"/>
  <c r="AA25" i="27"/>
  <c r="AA24" i="27"/>
  <c r="AA23" i="27"/>
  <c r="AA22" i="27"/>
  <c r="AA21" i="27"/>
  <c r="AA19" i="27"/>
  <c r="AA18" i="27"/>
  <c r="AA17" i="27"/>
  <c r="AA16" i="27"/>
  <c r="AA13" i="27"/>
  <c r="AA12" i="27"/>
  <c r="U41" i="27"/>
  <c r="U40" i="27"/>
  <c r="U39" i="27"/>
  <c r="U38" i="27"/>
  <c r="U37" i="27"/>
  <c r="U36" i="27"/>
  <c r="U35" i="27"/>
  <c r="U34" i="27"/>
  <c r="U32" i="27"/>
  <c r="U30" i="27"/>
  <c r="U28" i="27"/>
  <c r="U27" i="27"/>
  <c r="U25" i="27"/>
  <c r="U24" i="27"/>
  <c r="U23" i="27"/>
  <c r="AR22" i="27"/>
  <c r="AQ22" i="27"/>
  <c r="BE22" i="27" s="1"/>
  <c r="AP22" i="27"/>
  <c r="AO22" i="27"/>
  <c r="U22" i="27"/>
  <c r="AR21" i="27"/>
  <c r="AQ21" i="27"/>
  <c r="BE21" i="27" s="1"/>
  <c r="AP21" i="27"/>
  <c r="U21" i="27"/>
  <c r="U19" i="27"/>
  <c r="AR18" i="27"/>
  <c r="AQ18" i="27"/>
  <c r="BE18" i="27" s="1"/>
  <c r="AP18" i="27"/>
  <c r="AO18" i="27"/>
  <c r="U18" i="27"/>
  <c r="AR17" i="27"/>
  <c r="AQ17" i="27"/>
  <c r="BE17" i="27" s="1"/>
  <c r="AP17" i="27"/>
  <c r="AO17" i="27"/>
  <c r="U17" i="27"/>
  <c r="AR16" i="27"/>
  <c r="AQ16" i="27"/>
  <c r="BE16" i="27" s="1"/>
  <c r="AP16" i="27"/>
  <c r="U16" i="27"/>
  <c r="U13" i="27"/>
  <c r="U12" i="27"/>
  <c r="U11" i="27"/>
  <c r="V10" i="27"/>
  <c r="U10" i="27"/>
  <c r="AC13" i="27"/>
  <c r="AS105" i="27"/>
  <c r="AS10" i="27"/>
  <c r="BG10" i="27" s="1"/>
  <c r="BU10" i="27" s="1"/>
  <c r="AR10" i="27"/>
  <c r="AQ10" i="27"/>
  <c r="AP10" i="27"/>
  <c r="AO10" i="27"/>
  <c r="BB52" i="26"/>
  <c r="BB51" i="26"/>
  <c r="BB49" i="26"/>
  <c r="BJ53" i="26"/>
  <c r="BJ64" i="26" s="1"/>
  <c r="BI53" i="26"/>
  <c r="BI64" i="26" s="1"/>
  <c r="BJ52" i="26"/>
  <c r="BI52" i="26"/>
  <c r="BJ51" i="26"/>
  <c r="BI51" i="26"/>
  <c r="BJ50" i="26"/>
  <c r="BI50" i="26"/>
  <c r="BJ49" i="26"/>
  <c r="BI49" i="26"/>
  <c r="AV56" i="26"/>
  <c r="AV55" i="26"/>
  <c r="AV54" i="26"/>
  <c r="AV53" i="26"/>
  <c r="AV52" i="26"/>
  <c r="AV51" i="26"/>
  <c r="AV50" i="26"/>
  <c r="AV49" i="26"/>
  <c r="BB45" i="26"/>
  <c r="BB35" i="26"/>
  <c r="BB34" i="26"/>
  <c r="BB31" i="26"/>
  <c r="BB29" i="26"/>
  <c r="BB28" i="26"/>
  <c r="BI48" i="26"/>
  <c r="BJ47" i="26"/>
  <c r="BI47" i="26"/>
  <c r="BJ46" i="26"/>
  <c r="BI46" i="26"/>
  <c r="BJ45" i="26"/>
  <c r="BI45" i="26"/>
  <c r="BI42" i="26"/>
  <c r="BJ41" i="26"/>
  <c r="BI41" i="26"/>
  <c r="BJ40" i="26"/>
  <c r="BI40" i="26"/>
  <c r="BJ38" i="26"/>
  <c r="BI38" i="26"/>
  <c r="BJ37" i="26"/>
  <c r="BI37" i="26"/>
  <c r="BJ35" i="26"/>
  <c r="BI35" i="26"/>
  <c r="BJ34" i="26"/>
  <c r="BI34" i="26"/>
  <c r="BJ33" i="26"/>
  <c r="BI33" i="26"/>
  <c r="BJ32" i="26"/>
  <c r="BI32" i="26"/>
  <c r="BJ31" i="26"/>
  <c r="BI31" i="26"/>
  <c r="BJ30" i="26"/>
  <c r="BI30" i="26"/>
  <c r="BJ29" i="26"/>
  <c r="BI29" i="26"/>
  <c r="BJ28" i="26"/>
  <c r="BI28" i="26"/>
  <c r="BJ27" i="26"/>
  <c r="BI27" i="26"/>
  <c r="BJ26" i="26"/>
  <c r="BI26" i="26"/>
  <c r="AV48" i="26"/>
  <c r="AV47" i="26"/>
  <c r="AV46" i="26"/>
  <c r="AV45" i="26"/>
  <c r="AV44" i="26"/>
  <c r="AV42" i="26"/>
  <c r="AV39" i="26"/>
  <c r="AV36" i="26"/>
  <c r="AV33" i="26"/>
  <c r="AV32" i="26"/>
  <c r="AV30" i="26"/>
  <c r="AV29" i="26"/>
  <c r="AV28" i="26"/>
  <c r="AV27" i="26"/>
  <c r="AV26" i="26"/>
  <c r="N87" i="26"/>
  <c r="N89" i="26" s="1"/>
  <c r="BB17" i="26"/>
  <c r="BB16" i="26"/>
  <c r="BB14" i="26"/>
  <c r="BB13" i="26"/>
  <c r="BJ19" i="26"/>
  <c r="BI19" i="26"/>
  <c r="AV19" i="26"/>
  <c r="BJ18" i="26"/>
  <c r="BI18" i="26"/>
  <c r="AV18" i="26"/>
  <c r="BJ17" i="26"/>
  <c r="BH17" i="26"/>
  <c r="BG17" i="26"/>
  <c r="AV17" i="26"/>
  <c r="AV16" i="26"/>
  <c r="AV15" i="26"/>
  <c r="AV14" i="26"/>
  <c r="AV13" i="26"/>
  <c r="AV12" i="26"/>
  <c r="AW11" i="26"/>
  <c r="AV11" i="26"/>
  <c r="BJ16" i="26"/>
  <c r="BI16" i="26"/>
  <c r="BJ15" i="26"/>
  <c r="BI15" i="26"/>
  <c r="BJ14" i="26"/>
  <c r="BI14" i="26"/>
  <c r="BJ13" i="26"/>
  <c r="BI13" i="26"/>
  <c r="BJ11" i="26"/>
  <c r="BI11" i="26"/>
  <c r="AA7" i="7"/>
  <c r="AB7" i="7"/>
  <c r="AB6" i="7"/>
  <c r="FI13" i="26" l="1"/>
  <c r="GM18" i="26"/>
  <c r="GG14" i="26"/>
  <c r="GM14" i="26"/>
  <c r="GH14" i="26"/>
  <c r="HF323" i="26"/>
  <c r="HG323" i="26" s="1"/>
  <c r="GN14" i="26"/>
  <c r="FX32" i="26"/>
  <c r="FW32" i="26"/>
  <c r="FS14" i="26"/>
  <c r="FJ13" i="26"/>
  <c r="FY14" i="26"/>
  <c r="BI65" i="26"/>
  <c r="BJ65" i="26"/>
  <c r="IC21" i="26"/>
  <c r="BB61" i="26"/>
  <c r="BB63" i="26"/>
  <c r="BI63" i="26"/>
  <c r="BI62" i="26"/>
  <c r="BI61" i="26"/>
  <c r="BJ63" i="26"/>
  <c r="BJ61" i="26"/>
  <c r="BJ62" i="26"/>
  <c r="BB72" i="26"/>
  <c r="BB71" i="26"/>
  <c r="AN15" i="22"/>
  <c r="AN12" i="22"/>
  <c r="BF18" i="27"/>
  <c r="BT18" i="27" s="1"/>
  <c r="CB18" i="27"/>
  <c r="CI18" i="27" s="1"/>
  <c r="BF22" i="27"/>
  <c r="BT22" i="27" s="1"/>
  <c r="CB22" i="27"/>
  <c r="CI22" i="27" s="1"/>
  <c r="BF16" i="27"/>
  <c r="BT16" i="27" s="1"/>
  <c r="CB16" i="27"/>
  <c r="CI16" i="27" s="1"/>
  <c r="BF21" i="27"/>
  <c r="BT21" i="27" s="1"/>
  <c r="CB21" i="27"/>
  <c r="CI21" i="27" s="1"/>
  <c r="BF17" i="27"/>
  <c r="BT17" i="27" s="1"/>
  <c r="CB17" i="27"/>
  <c r="CI17" i="27" s="1"/>
  <c r="BD21" i="27"/>
  <c r="CA21" i="27"/>
  <c r="BD22" i="27"/>
  <c r="CA22" i="27"/>
  <c r="BD17" i="27"/>
  <c r="CA17" i="27"/>
  <c r="AS117" i="27"/>
  <c r="AS123" i="27" s="1"/>
  <c r="AT129" i="27" s="1"/>
  <c r="AS109" i="27"/>
  <c r="BD16" i="27"/>
  <c r="BS16" i="27" s="1"/>
  <c r="CA16" i="27"/>
  <c r="BD18" i="27"/>
  <c r="CA18" i="27"/>
  <c r="EE18" i="26"/>
  <c r="EQ18" i="26" s="1"/>
  <c r="BB18" i="26"/>
  <c r="BK18" i="26" s="1"/>
  <c r="AR157" i="27"/>
  <c r="BB33" i="26"/>
  <c r="BK33" i="26" s="1"/>
  <c r="EE26" i="26"/>
  <c r="EQ26" i="26" s="1"/>
  <c r="BB26" i="26"/>
  <c r="BK26" i="26" s="1"/>
  <c r="BB50" i="26"/>
  <c r="BK50" i="26" s="1"/>
  <c r="EE27" i="26"/>
  <c r="EQ27" i="26" s="1"/>
  <c r="BB27" i="26"/>
  <c r="BB46" i="26"/>
  <c r="BK46" i="26" s="1"/>
  <c r="EE15" i="26"/>
  <c r="EQ15" i="26" s="1"/>
  <c r="BB15" i="26"/>
  <c r="BK15" i="26" s="1"/>
  <c r="BB47" i="26"/>
  <c r="BK47" i="26" s="1"/>
  <c r="BB48" i="26"/>
  <c r="BK48" i="26" s="1"/>
  <c r="AR156" i="27"/>
  <c r="BB30" i="26"/>
  <c r="BK30" i="26" s="1"/>
  <c r="CR90" i="26"/>
  <c r="CR33" i="26" s="1"/>
  <c r="BB32" i="26"/>
  <c r="BK32" i="26" s="1"/>
  <c r="BB53" i="26"/>
  <c r="BB65" i="26" s="1"/>
  <c r="AQ127" i="27"/>
  <c r="AQ139" i="27" s="1"/>
  <c r="AP127" i="27"/>
  <c r="AP139" i="27" s="1"/>
  <c r="AV37" i="26"/>
  <c r="AV38" i="26"/>
  <c r="AQ123" i="27"/>
  <c r="BF12" i="27"/>
  <c r="AO39" i="27"/>
  <c r="HA125" i="26" s="1"/>
  <c r="BB19" i="26"/>
  <c r="AQ39" i="27"/>
  <c r="HC125" i="26" s="1"/>
  <c r="AP39" i="27"/>
  <c r="HB125" i="26" s="1"/>
  <c r="AR39" i="27"/>
  <c r="HD125" i="26" s="1"/>
  <c r="IG21" i="26"/>
  <c r="O53" i="27"/>
  <c r="O54" i="27"/>
  <c r="O31" i="27" s="1"/>
  <c r="AR23" i="27"/>
  <c r="AP35" i="27"/>
  <c r="AQ23" i="27"/>
  <c r="BE23" i="27" s="1"/>
  <c r="AR35" i="27"/>
  <c r="AQ35" i="27"/>
  <c r="BE35" i="27" s="1"/>
  <c r="AP38" i="27"/>
  <c r="AQ38" i="27"/>
  <c r="BE38" i="27" s="1"/>
  <c r="AR38" i="27"/>
  <c r="AO23" i="27"/>
  <c r="BC23" i="27" s="1"/>
  <c r="BQ23" i="27" s="1"/>
  <c r="AP23" i="27"/>
  <c r="EE16" i="26"/>
  <c r="EQ16" i="26" s="1"/>
  <c r="AC41" i="27"/>
  <c r="AS17" i="27"/>
  <c r="AC19" i="27"/>
  <c r="AS22" i="27"/>
  <c r="BC22" i="27"/>
  <c r="BQ22" i="27" s="1"/>
  <c r="AS39" i="27"/>
  <c r="HE125" i="26" s="1"/>
  <c r="BC18" i="27"/>
  <c r="BQ18" i="27" s="1"/>
  <c r="AC32" i="27"/>
  <c r="AS38" i="27"/>
  <c r="BC17" i="27"/>
  <c r="BQ17" i="27" s="1"/>
  <c r="AS35" i="27"/>
  <c r="AS16" i="27"/>
  <c r="AS18" i="27"/>
  <c r="AS21" i="27"/>
  <c r="AC37" i="27"/>
  <c r="AS23" i="27"/>
  <c r="AC25" i="27"/>
  <c r="AC30" i="27"/>
  <c r="AO21" i="27"/>
  <c r="AO38" i="27"/>
  <c r="AC28" i="27"/>
  <c r="AO35" i="27"/>
  <c r="AO16" i="27"/>
  <c r="AC36" i="27"/>
  <c r="AC22" i="27"/>
  <c r="AC24" i="27"/>
  <c r="AC38" i="27"/>
  <c r="AC39" i="27"/>
  <c r="AC16" i="27"/>
  <c r="AC18" i="27"/>
  <c r="AC21" i="27"/>
  <c r="AC35" i="27"/>
  <c r="AC17" i="27"/>
  <c r="AC40" i="27"/>
  <c r="AC23" i="27"/>
  <c r="BL16" i="26"/>
  <c r="BK16" i="26"/>
  <c r="BL38" i="26"/>
  <c r="BK38" i="26"/>
  <c r="BL40" i="26"/>
  <c r="BL29" i="26"/>
  <c r="BK29" i="26"/>
  <c r="BL30" i="26"/>
  <c r="BK31" i="26"/>
  <c r="BL31" i="26"/>
  <c r="BK45" i="26"/>
  <c r="BL45" i="26"/>
  <c r="BL26" i="26"/>
  <c r="BK17" i="26"/>
  <c r="BL17" i="26"/>
  <c r="BL27" i="26"/>
  <c r="BL18" i="26"/>
  <c r="BL28" i="26"/>
  <c r="BK28" i="26"/>
  <c r="BL41" i="26"/>
  <c r="BK41" i="26"/>
  <c r="BL46" i="26"/>
  <c r="BL33" i="26"/>
  <c r="BL47" i="26"/>
  <c r="BL49" i="26"/>
  <c r="BK49" i="26"/>
  <c r="BK34" i="26"/>
  <c r="BL34" i="26"/>
  <c r="BL48" i="26"/>
  <c r="BL50" i="26"/>
  <c r="BK13" i="26"/>
  <c r="BL13" i="26"/>
  <c r="BL35" i="26"/>
  <c r="BK35" i="26"/>
  <c r="BK14" i="26"/>
  <c r="BL14" i="26"/>
  <c r="BL37" i="26"/>
  <c r="BK37" i="26"/>
  <c r="BK52" i="26"/>
  <c r="BL52" i="26"/>
  <c r="BL32" i="26"/>
  <c r="BK51" i="26"/>
  <c r="BL51" i="26"/>
  <c r="BL15" i="26"/>
  <c r="BL53" i="26"/>
  <c r="BL64" i="26" s="1"/>
  <c r="GN32" i="26" l="1"/>
  <c r="GI14" i="26"/>
  <c r="GM32" i="26"/>
  <c r="FZ14" i="26"/>
  <c r="GO14" i="26"/>
  <c r="FY32" i="26"/>
  <c r="BK27" i="26"/>
  <c r="AI19" i="14"/>
  <c r="AI21" i="14" s="1"/>
  <c r="AC47" i="27"/>
  <c r="BR18" i="27"/>
  <c r="BS18" i="27"/>
  <c r="BR22" i="27"/>
  <c r="BS21" i="27"/>
  <c r="AC49" i="27"/>
  <c r="AC45" i="27"/>
  <c r="BS22" i="27"/>
  <c r="BR17" i="27"/>
  <c r="BS17" i="27"/>
  <c r="CR34" i="26"/>
  <c r="CR41" i="26" s="1"/>
  <c r="DS33" i="26"/>
  <c r="BL65" i="26"/>
  <c r="IB63" i="26"/>
  <c r="BB73" i="26"/>
  <c r="IC20" i="26"/>
  <c r="BL61" i="26"/>
  <c r="BL62" i="26"/>
  <c r="BK57" i="26"/>
  <c r="BB64" i="26"/>
  <c r="BK61" i="26"/>
  <c r="BK63" i="26"/>
  <c r="BL63" i="26"/>
  <c r="BB62" i="26"/>
  <c r="BK53" i="26"/>
  <c r="BK64" i="26" s="1"/>
  <c r="BB76" i="26"/>
  <c r="BB75" i="26"/>
  <c r="BF38" i="27"/>
  <c r="BT38" i="27" s="1"/>
  <c r="CB38" i="27"/>
  <c r="CI38" i="27" s="1"/>
  <c r="BF23" i="27"/>
  <c r="BT23" i="27" s="1"/>
  <c r="CB23" i="27"/>
  <c r="CI23" i="27" s="1"/>
  <c r="CB39" i="27"/>
  <c r="CI39" i="27" s="1"/>
  <c r="BF35" i="27"/>
  <c r="BT35" i="27" s="1"/>
  <c r="CB35" i="27"/>
  <c r="CI35" i="27" s="1"/>
  <c r="O29" i="27"/>
  <c r="Y29" i="27" s="1"/>
  <c r="AE29" i="27" s="1"/>
  <c r="AS12" i="27"/>
  <c r="AS138" i="27" s="1"/>
  <c r="AR158" i="27"/>
  <c r="CA39" i="27"/>
  <c r="BD38" i="27"/>
  <c r="BS38" i="27" s="1"/>
  <c r="CA38" i="27"/>
  <c r="BD35" i="27"/>
  <c r="CA35" i="27"/>
  <c r="BD23" i="27"/>
  <c r="BR23" i="27" s="1"/>
  <c r="CA23" i="27"/>
  <c r="EE50" i="26"/>
  <c r="EE32" i="26"/>
  <c r="EQ32" i="26" s="1"/>
  <c r="EF32" i="26"/>
  <c r="ER32" i="26" s="1"/>
  <c r="AY42" i="26"/>
  <c r="HS77" i="26" s="1"/>
  <c r="HS80" i="26" s="1"/>
  <c r="BJ42" i="26"/>
  <c r="EE28" i="26"/>
  <c r="EQ28" i="26" s="1"/>
  <c r="AP123" i="27"/>
  <c r="AQ129" i="27" s="1"/>
  <c r="AQ133" i="27"/>
  <c r="BC39" i="27"/>
  <c r="BQ39" i="27" s="1"/>
  <c r="AS121" i="27"/>
  <c r="AS127" i="27" s="1"/>
  <c r="AA87" i="26"/>
  <c r="AA89" i="26" s="1"/>
  <c r="IG63" i="26"/>
  <c r="IF63" i="26"/>
  <c r="AR127" i="27"/>
  <c r="AR123" i="27"/>
  <c r="AO127" i="27"/>
  <c r="AO139" i="27" s="1"/>
  <c r="AO123" i="27"/>
  <c r="BK19" i="26"/>
  <c r="BF39" i="27"/>
  <c r="BE39" i="27"/>
  <c r="BL19" i="26"/>
  <c r="BD39" i="27"/>
  <c r="AS40" i="27"/>
  <c r="CO40" i="27" s="1"/>
  <c r="AQ24" i="27"/>
  <c r="BE24" i="27" s="1"/>
  <c r="AR40" i="27"/>
  <c r="AR24" i="27"/>
  <c r="AP40" i="27"/>
  <c r="AQ40" i="27"/>
  <c r="BE40" i="27" s="1"/>
  <c r="AP24" i="27"/>
  <c r="BC38" i="27"/>
  <c r="BQ38" i="27" s="1"/>
  <c r="BG39" i="27"/>
  <c r="CO39" i="27"/>
  <c r="AS24" i="27"/>
  <c r="BG22" i="27"/>
  <c r="CO22" i="27"/>
  <c r="BG23" i="27"/>
  <c r="CO23" i="27"/>
  <c r="BG16" i="27"/>
  <c r="CO16" i="27"/>
  <c r="CO38" i="27"/>
  <c r="BG38" i="27"/>
  <c r="BC16" i="27"/>
  <c r="BQ16" i="27" s="1"/>
  <c r="BC35" i="27"/>
  <c r="BQ35" i="27" s="1"/>
  <c r="BC21" i="27"/>
  <c r="BQ21" i="27" s="1"/>
  <c r="CO21" i="27"/>
  <c r="BG21" i="27"/>
  <c r="BG35" i="27"/>
  <c r="CO35" i="27"/>
  <c r="CO17" i="27"/>
  <c r="BG17" i="27"/>
  <c r="BG18" i="27"/>
  <c r="CO18" i="27"/>
  <c r="AO40" i="27"/>
  <c r="AO24" i="27"/>
  <c r="BL42" i="26"/>
  <c r="BK42" i="26"/>
  <c r="AN7" i="4"/>
  <c r="EY26" i="26"/>
  <c r="FH25" i="26" s="1"/>
  <c r="EX26" i="26"/>
  <c r="FG25" i="26" s="1"/>
  <c r="EX25" i="26"/>
  <c r="FG24" i="26" s="1"/>
  <c r="FK15" i="26"/>
  <c r="FG15" i="26"/>
  <c r="FG30" i="26"/>
  <c r="FK39" i="26"/>
  <c r="FG39" i="26"/>
  <c r="EY41" i="26"/>
  <c r="EX41" i="26"/>
  <c r="EX40" i="26"/>
  <c r="EY32" i="26"/>
  <c r="EX32" i="26"/>
  <c r="EX31" i="26"/>
  <c r="FB16" i="26"/>
  <c r="EY17" i="26"/>
  <c r="EX17" i="26"/>
  <c r="AY10" i="26"/>
  <c r="HS73" i="26" s="1"/>
  <c r="BY31" i="27"/>
  <c r="JB11" i="26"/>
  <c r="IO10" i="26"/>
  <c r="IZ24" i="26"/>
  <c r="JA24" i="26" s="1"/>
  <c r="IN24" i="26"/>
  <c r="JF24" i="26"/>
  <c r="DY24" i="26"/>
  <c r="BP24" i="26"/>
  <c r="N11" i="33"/>
  <c r="V11" i="33" s="1"/>
  <c r="O11" i="33"/>
  <c r="W11" i="33" s="1"/>
  <c r="P11" i="33"/>
  <c r="M11" i="33"/>
  <c r="U11" i="33" s="1"/>
  <c r="N10" i="33"/>
  <c r="V10" i="33" s="1"/>
  <c r="O10" i="33"/>
  <c r="W10" i="33" s="1"/>
  <c r="P10" i="33"/>
  <c r="X10" i="33" s="1"/>
  <c r="M10" i="33"/>
  <c r="U10" i="33" s="1"/>
  <c r="CR72" i="27"/>
  <c r="CR71" i="27"/>
  <c r="CR70" i="27"/>
  <c r="CR68" i="27"/>
  <c r="CR67" i="27"/>
  <c r="CR66" i="27"/>
  <c r="CR64" i="27"/>
  <c r="CR63" i="27"/>
  <c r="CR62" i="27"/>
  <c r="CR56" i="27"/>
  <c r="CL72" i="27"/>
  <c r="CL71" i="27"/>
  <c r="CL70" i="27"/>
  <c r="CL68" i="27"/>
  <c r="CL67" i="27"/>
  <c r="CL66" i="27"/>
  <c r="CL64" i="27"/>
  <c r="CL63" i="27"/>
  <c r="CL62" i="27"/>
  <c r="CL56" i="27"/>
  <c r="CF72" i="27"/>
  <c r="CF71" i="27"/>
  <c r="CF70" i="27"/>
  <c r="CF68" i="27"/>
  <c r="CF67" i="27"/>
  <c r="CF66" i="27"/>
  <c r="CF64" i="27"/>
  <c r="CF63" i="27"/>
  <c r="CF62" i="27"/>
  <c r="CF56" i="27"/>
  <c r="BY72" i="27"/>
  <c r="BY71" i="27"/>
  <c r="BY70" i="27"/>
  <c r="BY68" i="27"/>
  <c r="BY67" i="27"/>
  <c r="BY66" i="27"/>
  <c r="BY64" i="27"/>
  <c r="BY63" i="27"/>
  <c r="BY62" i="27"/>
  <c r="BY56" i="27"/>
  <c r="CH57" i="27"/>
  <c r="CG57" i="27"/>
  <c r="P46" i="33"/>
  <c r="AH59" i="27"/>
  <c r="CI101" i="26" s="1"/>
  <c r="DY90" i="26" s="1"/>
  <c r="AH60" i="27"/>
  <c r="CI102" i="26" s="1"/>
  <c r="DY91" i="26" s="1"/>
  <c r="AH58" i="27"/>
  <c r="CI100" i="26" s="1"/>
  <c r="DY89" i="26" s="1"/>
  <c r="X12" i="33"/>
  <c r="X14" i="33"/>
  <c r="X15" i="33"/>
  <c r="H16" i="33"/>
  <c r="BZ13" i="26" s="1"/>
  <c r="AW72" i="27"/>
  <c r="AW71" i="27"/>
  <c r="AW70" i="27"/>
  <c r="AH72" i="27"/>
  <c r="AH71" i="27"/>
  <c r="AH70" i="27"/>
  <c r="AW56" i="27"/>
  <c r="AH56" i="27"/>
  <c r="CI97" i="26" s="1"/>
  <c r="AW68" i="27"/>
  <c r="AW67" i="27"/>
  <c r="AW66" i="27"/>
  <c r="AW64" i="27"/>
  <c r="AW63" i="27"/>
  <c r="AW62" i="27"/>
  <c r="AH68" i="27"/>
  <c r="AH67" i="27"/>
  <c r="AH66" i="27"/>
  <c r="AH64" i="27"/>
  <c r="AH63" i="27"/>
  <c r="AH62" i="27"/>
  <c r="O46" i="33"/>
  <c r="N46" i="33"/>
  <c r="AH53" i="27"/>
  <c r="AH54" i="27"/>
  <c r="AH52" i="27"/>
  <c r="AK60" i="27"/>
  <c r="AL60" i="27"/>
  <c r="AM60" i="27"/>
  <c r="AN60" i="27"/>
  <c r="AO60" i="27"/>
  <c r="AP60" i="27"/>
  <c r="AQ60" i="27"/>
  <c r="AR60" i="27"/>
  <c r="AH165" i="27"/>
  <c r="AH166" i="27"/>
  <c r="AH164" i="27"/>
  <c r="AL143" i="27"/>
  <c r="AM143" i="27"/>
  <c r="AN143" i="27"/>
  <c r="AO143" i="27"/>
  <c r="AP143" i="27"/>
  <c r="AQ143" i="27"/>
  <c r="AR143" i="27"/>
  <c r="AK143" i="27"/>
  <c r="X31" i="27"/>
  <c r="AD31" i="27" s="1"/>
  <c r="Y31" i="27"/>
  <c r="AE31" i="27" s="1"/>
  <c r="X29" i="27"/>
  <c r="AD29" i="27" s="1"/>
  <c r="GO32" i="26" l="1"/>
  <c r="GP14" i="26"/>
  <c r="AX7" i="4"/>
  <c r="AN46" i="4"/>
  <c r="FZ32" i="26"/>
  <c r="BS23" i="27"/>
  <c r="AF19" i="18"/>
  <c r="AE19" i="8"/>
  <c r="AF17" i="14"/>
  <c r="BR21" i="27"/>
  <c r="BS39" i="27"/>
  <c r="BU39" i="27"/>
  <c r="BV39" i="27"/>
  <c r="BU38" i="27"/>
  <c r="BV38" i="27"/>
  <c r="BU18" i="27"/>
  <c r="BV18" i="27"/>
  <c r="BU17" i="27"/>
  <c r="BV17" i="27"/>
  <c r="BU16" i="27"/>
  <c r="BV16" i="27"/>
  <c r="BU23" i="27"/>
  <c r="BV23" i="27"/>
  <c r="BU21" i="27"/>
  <c r="BV21" i="27"/>
  <c r="BR35" i="27"/>
  <c r="BR16" i="27"/>
  <c r="BT39" i="27"/>
  <c r="BU35" i="27"/>
  <c r="BV35" i="27"/>
  <c r="BU22" i="27"/>
  <c r="BV22" i="27"/>
  <c r="BR39" i="27"/>
  <c r="BR38" i="27"/>
  <c r="BS35" i="27"/>
  <c r="AR133" i="27"/>
  <c r="AR139" i="27"/>
  <c r="AT133" i="27"/>
  <c r="AS139" i="27"/>
  <c r="EE51" i="26"/>
  <c r="EQ51" i="26" s="1"/>
  <c r="EQ50" i="26"/>
  <c r="P91" i="26"/>
  <c r="CT13" i="26"/>
  <c r="DS41" i="26"/>
  <c r="DS34" i="26"/>
  <c r="JG24" i="26"/>
  <c r="JN24" i="26" s="1"/>
  <c r="BK65" i="26"/>
  <c r="HD13" i="26"/>
  <c r="HN13" i="26" s="1"/>
  <c r="IO13" i="26"/>
  <c r="IZ13" i="26" s="1"/>
  <c r="IC19" i="26"/>
  <c r="BB77" i="26"/>
  <c r="IF74" i="26"/>
  <c r="IG74" i="26"/>
  <c r="IF20" i="26"/>
  <c r="IC67" i="26"/>
  <c r="BK62" i="26"/>
  <c r="EB10" i="26"/>
  <c r="HS47" i="26" s="1"/>
  <c r="AY94" i="26"/>
  <c r="BF24" i="27"/>
  <c r="BT24" i="27" s="1"/>
  <c r="CB24" i="27"/>
  <c r="CI24" i="27" s="1"/>
  <c r="BF40" i="27"/>
  <c r="BT40" i="27" s="1"/>
  <c r="CB40" i="27"/>
  <c r="CI40" i="27" s="1"/>
  <c r="AS148" i="27"/>
  <c r="AS36" i="27" s="1"/>
  <c r="EE52" i="26"/>
  <c r="EQ52" i="26" s="1"/>
  <c r="BD24" i="27"/>
  <c r="CA24" i="27"/>
  <c r="BD40" i="27"/>
  <c r="CA40" i="27"/>
  <c r="P63" i="27"/>
  <c r="AS19" i="27"/>
  <c r="BG19" i="27" s="1"/>
  <c r="EX42" i="26"/>
  <c r="AS133" i="27"/>
  <c r="BG12" i="27"/>
  <c r="AR129" i="27"/>
  <c r="AS129" i="27"/>
  <c r="AO133" i="27"/>
  <c r="AP133" i="27"/>
  <c r="AO129" i="27"/>
  <c r="AP129" i="27"/>
  <c r="AK17" i="33"/>
  <c r="P22" i="33"/>
  <c r="P40" i="33" s="1"/>
  <c r="IF69" i="26"/>
  <c r="IG69" i="26"/>
  <c r="BG40" i="27"/>
  <c r="IF18" i="26"/>
  <c r="IG20" i="26"/>
  <c r="IG18" i="26"/>
  <c r="EF24" i="26"/>
  <c r="ER24" i="26" s="1"/>
  <c r="BC40" i="27"/>
  <c r="BQ40" i="27" s="1"/>
  <c r="CO24" i="27"/>
  <c r="BG24" i="27"/>
  <c r="BC24" i="27"/>
  <c r="BQ24" i="27" s="1"/>
  <c r="AC29" i="27"/>
  <c r="AC31" i="27"/>
  <c r="BD15" i="27"/>
  <c r="X16" i="33"/>
  <c r="BE15" i="27"/>
  <c r="GP32" i="26" l="1"/>
  <c r="FB13" i="26"/>
  <c r="FK13" i="26" s="1"/>
  <c r="HN321" i="26"/>
  <c r="FG41" i="26"/>
  <c r="FW26" i="26"/>
  <c r="HO13" i="26"/>
  <c r="BR24" i="27"/>
  <c r="BR40" i="27"/>
  <c r="BS15" i="27"/>
  <c r="BT15" i="27"/>
  <c r="BS40" i="27"/>
  <c r="BU40" i="27"/>
  <c r="BV40" i="27"/>
  <c r="BU24" i="27"/>
  <c r="BV24" i="27"/>
  <c r="BV19" i="27"/>
  <c r="BS24" i="27"/>
  <c r="BU12" i="27"/>
  <c r="BV12" i="27"/>
  <c r="DU13" i="26"/>
  <c r="CT14" i="26"/>
  <c r="EA13" i="26"/>
  <c r="IC63" i="26"/>
  <c r="HE124" i="26"/>
  <c r="HE167" i="26"/>
  <c r="IG67" i="26"/>
  <c r="IF67" i="26"/>
  <c r="IG57" i="26"/>
  <c r="IF57" i="26"/>
  <c r="IF56" i="26"/>
  <c r="IG56" i="26"/>
  <c r="IC18" i="26"/>
  <c r="IC69" i="26"/>
  <c r="EB87" i="26"/>
  <c r="EB94" i="26"/>
  <c r="CO19" i="27"/>
  <c r="AS25" i="27"/>
  <c r="AS48" i="27" s="1"/>
  <c r="BY13" i="26"/>
  <c r="CS13" i="26" s="1"/>
  <c r="AS145" i="27"/>
  <c r="EI24" i="26"/>
  <c r="EH24" i="26"/>
  <c r="BE14" i="27"/>
  <c r="BD14" i="27"/>
  <c r="BC12" i="27"/>
  <c r="BQ12" i="27" s="1"/>
  <c r="BD12" i="27"/>
  <c r="BC14" i="27"/>
  <c r="BQ14" i="27" s="1"/>
  <c r="BC15" i="27"/>
  <c r="BQ15" i="27" s="1"/>
  <c r="BE12" i="27"/>
  <c r="JH24" i="26"/>
  <c r="JO24" i="26" s="1"/>
  <c r="JI24" i="26"/>
  <c r="JP24" i="26" s="1"/>
  <c r="DK13" i="26"/>
  <c r="DK14" i="26"/>
  <c r="DK15" i="26"/>
  <c r="DK16" i="26"/>
  <c r="DK17" i="26"/>
  <c r="DK18" i="26"/>
  <c r="DK19" i="26"/>
  <c r="DK20" i="26"/>
  <c r="DK21" i="26"/>
  <c r="DK22" i="26"/>
  <c r="DK23" i="26"/>
  <c r="DK25" i="26"/>
  <c r="DK26" i="26"/>
  <c r="DK27" i="26"/>
  <c r="DK28" i="26"/>
  <c r="DK29" i="26"/>
  <c r="DK30" i="26"/>
  <c r="DK31" i="26"/>
  <c r="DK32" i="26"/>
  <c r="DK33" i="26"/>
  <c r="DK34" i="26"/>
  <c r="DK35" i="26"/>
  <c r="DK36" i="26"/>
  <c r="DK37" i="26"/>
  <c r="DK38" i="26"/>
  <c r="DK39" i="26"/>
  <c r="DK40" i="26"/>
  <c r="DK41" i="26"/>
  <c r="DK42" i="26"/>
  <c r="DK43" i="26"/>
  <c r="DK44" i="26"/>
  <c r="DK45" i="26"/>
  <c r="DK46" i="26"/>
  <c r="DK47" i="26"/>
  <c r="DK48" i="26"/>
  <c r="DK49" i="26"/>
  <c r="DK50" i="26"/>
  <c r="DK51" i="26"/>
  <c r="DK52" i="26"/>
  <c r="DK53" i="26"/>
  <c r="DK54" i="26"/>
  <c r="DK55" i="26"/>
  <c r="DK56" i="26"/>
  <c r="DK57" i="26"/>
  <c r="DK58" i="26"/>
  <c r="AW7" i="3"/>
  <c r="AU7" i="3"/>
  <c r="AT7" i="3"/>
  <c r="AS7" i="3"/>
  <c r="AR7" i="3"/>
  <c r="HJ148" i="26" l="1"/>
  <c r="C30" i="45" s="1"/>
  <c r="GM26" i="26"/>
  <c r="FT14" i="26"/>
  <c r="FC13" i="26"/>
  <c r="FU14" i="26" s="1"/>
  <c r="HO321" i="26"/>
  <c r="BR12" i="27"/>
  <c r="BR14" i="27"/>
  <c r="BS14" i="27"/>
  <c r="BT14" i="27"/>
  <c r="BR15" i="27"/>
  <c r="BS12" i="27"/>
  <c r="BT12" i="27"/>
  <c r="CO25" i="27"/>
  <c r="CO48" i="27" s="1"/>
  <c r="DT13" i="26"/>
  <c r="CS14" i="26"/>
  <c r="JB13" i="26"/>
  <c r="JA13" i="26" s="1"/>
  <c r="EM13" i="26"/>
  <c r="CT19" i="26"/>
  <c r="DU14" i="26"/>
  <c r="IB19" i="26"/>
  <c r="IF19" i="26"/>
  <c r="EC13" i="26"/>
  <c r="EO13" i="26" s="1"/>
  <c r="BN9" i="26"/>
  <c r="BG25" i="27"/>
  <c r="BG48" i="27" s="1"/>
  <c r="O91" i="26"/>
  <c r="AS147" i="27"/>
  <c r="AS30" i="27" s="1"/>
  <c r="AS146" i="27"/>
  <c r="AS149" i="27"/>
  <c r="AS151" i="27" s="1"/>
  <c r="IG19" i="26"/>
  <c r="IG17" i="26"/>
  <c r="BG53" i="26"/>
  <c r="BG30" i="26"/>
  <c r="FC11" i="26"/>
  <c r="FU11" i="26" s="1"/>
  <c r="FB11" i="26"/>
  <c r="EX16" i="26"/>
  <c r="AL174" i="27"/>
  <c r="AM174" i="27"/>
  <c r="AL175" i="27"/>
  <c r="AM175" i="27"/>
  <c r="AK175" i="27"/>
  <c r="AK174" i="27"/>
  <c r="AO174" i="27"/>
  <c r="AP174" i="27"/>
  <c r="AQ174" i="27"/>
  <c r="AR174" i="27"/>
  <c r="AO175" i="27"/>
  <c r="AP175" i="27"/>
  <c r="AQ175" i="27"/>
  <c r="AR175" i="27"/>
  <c r="M62" i="27"/>
  <c r="N62" i="27"/>
  <c r="O62" i="27"/>
  <c r="P62" i="27"/>
  <c r="M63" i="27"/>
  <c r="N63" i="27"/>
  <c r="O63" i="27"/>
  <c r="L63" i="27"/>
  <c r="L62" i="27"/>
  <c r="CS41" i="27"/>
  <c r="CU14" i="27"/>
  <c r="CU15" i="27"/>
  <c r="CU12" i="27"/>
  <c r="CS16" i="27"/>
  <c r="CS17" i="27"/>
  <c r="CS18" i="27"/>
  <c r="CS19" i="27"/>
  <c r="CS21" i="27"/>
  <c r="CS22" i="27"/>
  <c r="CS23" i="27"/>
  <c r="CS24" i="27"/>
  <c r="CS25" i="27"/>
  <c r="CS31" i="27"/>
  <c r="CS32" i="27"/>
  <c r="CS35" i="27"/>
  <c r="CS36" i="27"/>
  <c r="CS37" i="27"/>
  <c r="CS38" i="27"/>
  <c r="CS39" i="27"/>
  <c r="CS40" i="27"/>
  <c r="CG14" i="27"/>
  <c r="CH14" i="27"/>
  <c r="CG15" i="27"/>
  <c r="CH15" i="27"/>
  <c r="CH12" i="27"/>
  <c r="CG12" i="27"/>
  <c r="CU23" i="27"/>
  <c r="CG21" i="27"/>
  <c r="P57" i="27"/>
  <c r="AS57" i="27" s="1"/>
  <c r="L57" i="27"/>
  <c r="AO57" i="27" s="1"/>
  <c r="P44" i="27"/>
  <c r="L44" i="27"/>
  <c r="L75" i="27"/>
  <c r="M75" i="27"/>
  <c r="N75" i="27"/>
  <c r="O75" i="27"/>
  <c r="W13" i="33"/>
  <c r="W12" i="33"/>
  <c r="V12" i="33"/>
  <c r="FH11" i="26"/>
  <c r="FG11" i="26"/>
  <c r="CR49" i="27"/>
  <c r="CR48" i="27"/>
  <c r="CR47" i="27"/>
  <c r="CR45" i="27"/>
  <c r="CT44" i="27"/>
  <c r="CT57" i="27" s="1"/>
  <c r="CR43" i="27"/>
  <c r="AH35" i="27"/>
  <c r="CL35" i="27" s="1"/>
  <c r="E5" i="27"/>
  <c r="M96" i="1"/>
  <c r="JH10" i="26"/>
  <c r="IT20" i="26"/>
  <c r="CH40" i="27"/>
  <c r="CH16" i="27"/>
  <c r="BA9" i="27"/>
  <c r="BO9" i="27" s="1"/>
  <c r="AZ9" i="27"/>
  <c r="BN9" i="27" s="1"/>
  <c r="AY9" i="27"/>
  <c r="BM9" i="27" s="1"/>
  <c r="FF33" i="26"/>
  <c r="FF34" i="26"/>
  <c r="FF35" i="26"/>
  <c r="FF36" i="26"/>
  <c r="FF37" i="26"/>
  <c r="FF38" i="26"/>
  <c r="FF41" i="26"/>
  <c r="FF42" i="26"/>
  <c r="FF43" i="26"/>
  <c r="IA69" i="26"/>
  <c r="BV10" i="26"/>
  <c r="CP98" i="26" s="1"/>
  <c r="BW10" i="26"/>
  <c r="CQ98" i="26" s="1"/>
  <c r="BX10" i="26"/>
  <c r="CR98" i="26" s="1"/>
  <c r="BY10" i="26"/>
  <c r="CS98" i="26" s="1"/>
  <c r="BZ10" i="26"/>
  <c r="CT98" i="26" s="1"/>
  <c r="CA10" i="26"/>
  <c r="CU98" i="26" s="1"/>
  <c r="CB10" i="26"/>
  <c r="CV98" i="26" s="1"/>
  <c r="BY11" i="26"/>
  <c r="BR10" i="26"/>
  <c r="CL98" i="26" s="1"/>
  <c r="BS10" i="26"/>
  <c r="CM98" i="26" s="1"/>
  <c r="BT10" i="26"/>
  <c r="CN98" i="26" s="1"/>
  <c r="BU10" i="26"/>
  <c r="CO98" i="26" s="1"/>
  <c r="BU11" i="26"/>
  <c r="BQ11" i="26"/>
  <c r="BQ10" i="26"/>
  <c r="CK98" i="26" s="1"/>
  <c r="IT12" i="26"/>
  <c r="IT13" i="26"/>
  <c r="IT14" i="26"/>
  <c r="IT15" i="26"/>
  <c r="IT16" i="26"/>
  <c r="IT17" i="26"/>
  <c r="IT18" i="26"/>
  <c r="IT19" i="26"/>
  <c r="IT21" i="26"/>
  <c r="IT22" i="26"/>
  <c r="IT23" i="26"/>
  <c r="IT25" i="26"/>
  <c r="IT26" i="26"/>
  <c r="IT27" i="26"/>
  <c r="IT28" i="26"/>
  <c r="IT29" i="26"/>
  <c r="IT30" i="26"/>
  <c r="IT31" i="26"/>
  <c r="IT32" i="26"/>
  <c r="IT33" i="26"/>
  <c r="IT34" i="26"/>
  <c r="IT35" i="26"/>
  <c r="IT36" i="26"/>
  <c r="IT37" i="26"/>
  <c r="IT38" i="26"/>
  <c r="IT39" i="26"/>
  <c r="IT40" i="26"/>
  <c r="IT41" i="26"/>
  <c r="IT42" i="26"/>
  <c r="IT43" i="26"/>
  <c r="IT44" i="26"/>
  <c r="IT45" i="26"/>
  <c r="IT46" i="26"/>
  <c r="IT47" i="26"/>
  <c r="IT48" i="26"/>
  <c r="IT49" i="26"/>
  <c r="IT50" i="26"/>
  <c r="IT51" i="26"/>
  <c r="IT52" i="26"/>
  <c r="IT53" i="26"/>
  <c r="IT54" i="26"/>
  <c r="IT55" i="26"/>
  <c r="IT56" i="26"/>
  <c r="IT57" i="26"/>
  <c r="IT10" i="26"/>
  <c r="IJ11" i="26"/>
  <c r="IJ17" i="26"/>
  <c r="IJ39" i="26"/>
  <c r="IJ43" i="26"/>
  <c r="IK11" i="26"/>
  <c r="IK12" i="26" s="1"/>
  <c r="IK13" i="26" s="1"/>
  <c r="IK14" i="26" s="1"/>
  <c r="IK15" i="26" s="1"/>
  <c r="IK16" i="26" s="1"/>
  <c r="IK17" i="26" s="1"/>
  <c r="IK18" i="26" s="1"/>
  <c r="IK19" i="26" s="1"/>
  <c r="IK20" i="26" s="1"/>
  <c r="IK21" i="26" s="1"/>
  <c r="IK22" i="26" s="1"/>
  <c r="IK23" i="26" s="1"/>
  <c r="IK25" i="26" s="1"/>
  <c r="IK26" i="26" s="1"/>
  <c r="IK27" i="26" s="1"/>
  <c r="IK28" i="26" s="1"/>
  <c r="IK29" i="26" s="1"/>
  <c r="IK30" i="26" s="1"/>
  <c r="IK31" i="26" s="1"/>
  <c r="IK32" i="26" s="1"/>
  <c r="IK33" i="26" s="1"/>
  <c r="IK34" i="26" s="1"/>
  <c r="IK35" i="26" s="1"/>
  <c r="IK36" i="26" s="1"/>
  <c r="IK37" i="26" s="1"/>
  <c r="IK38" i="26" s="1"/>
  <c r="IK39" i="26" s="1"/>
  <c r="IK40" i="26" s="1"/>
  <c r="IK41" i="26" s="1"/>
  <c r="IK42" i="26" s="1"/>
  <c r="IK43" i="26" s="1"/>
  <c r="IK44" i="26" s="1"/>
  <c r="IK45" i="26" s="1"/>
  <c r="IK46" i="26" s="1"/>
  <c r="IK47" i="26" s="1"/>
  <c r="IK48" i="26" s="1"/>
  <c r="IK49" i="26" s="1"/>
  <c r="IK50" i="26" s="1"/>
  <c r="IK51" i="26" s="1"/>
  <c r="IJ10" i="26"/>
  <c r="BG32" i="26"/>
  <c r="CK50" i="26"/>
  <c r="DL50" i="26" s="1"/>
  <c r="CK48" i="26"/>
  <c r="DL48" i="26" s="1"/>
  <c r="CK47" i="26"/>
  <c r="DL47" i="26" s="1"/>
  <c r="CK46" i="26"/>
  <c r="DL46" i="26" s="1"/>
  <c r="AK157" i="27"/>
  <c r="CK90" i="26"/>
  <c r="CK33" i="26" s="1"/>
  <c r="AK156" i="27"/>
  <c r="CK27" i="26"/>
  <c r="DL27" i="26" s="1"/>
  <c r="CK26" i="26"/>
  <c r="DL26" i="26" s="1"/>
  <c r="P11" i="26"/>
  <c r="L11" i="26"/>
  <c r="H11" i="26"/>
  <c r="AC11" i="26"/>
  <c r="Y11" i="26"/>
  <c r="U11" i="26"/>
  <c r="U14" i="33"/>
  <c r="H116" i="16"/>
  <c r="H129" i="16" s="1"/>
  <c r="H115" i="16"/>
  <c r="H128" i="16" s="1"/>
  <c r="H114" i="16"/>
  <c r="H127" i="16" s="1"/>
  <c r="J112" i="16"/>
  <c r="I112" i="16"/>
  <c r="H112" i="16"/>
  <c r="H125" i="16" s="1"/>
  <c r="J111" i="16"/>
  <c r="I111" i="16"/>
  <c r="H111" i="16"/>
  <c r="H124" i="16" s="1"/>
  <c r="J110" i="16"/>
  <c r="I110" i="16"/>
  <c r="H110" i="16"/>
  <c r="H123" i="16" s="1"/>
  <c r="J109" i="16"/>
  <c r="I109" i="16"/>
  <c r="H109" i="16"/>
  <c r="H122" i="16" s="1"/>
  <c r="J108" i="16"/>
  <c r="I108" i="16"/>
  <c r="J107" i="16"/>
  <c r="H103" i="16"/>
  <c r="CN44" i="27"/>
  <c r="CN57" i="27" s="1"/>
  <c r="GK14" i="26" l="1"/>
  <c r="GJ14" i="26"/>
  <c r="GA14" i="26"/>
  <c r="FL13" i="26"/>
  <c r="GB14" i="26"/>
  <c r="Y85" i="26"/>
  <c r="AM11" i="26"/>
  <c r="AC85" i="26"/>
  <c r="AQ11" i="26"/>
  <c r="U85" i="26"/>
  <c r="AI11" i="26"/>
  <c r="GB11" i="26"/>
  <c r="FB26" i="26"/>
  <c r="FK25" i="26" s="1"/>
  <c r="FT11" i="26"/>
  <c r="BV25" i="27"/>
  <c r="BV48" i="27" s="1"/>
  <c r="CS45" i="27"/>
  <c r="CK94" i="26"/>
  <c r="DL33" i="26"/>
  <c r="DU19" i="26"/>
  <c r="CT25" i="26"/>
  <c r="DT14" i="26"/>
  <c r="CS19" i="26"/>
  <c r="IC17" i="26"/>
  <c r="AS28" i="27"/>
  <c r="AS150" i="27"/>
  <c r="EA19" i="26"/>
  <c r="EA14" i="26"/>
  <c r="BI12" i="26"/>
  <c r="BI60" i="26" s="1"/>
  <c r="CO30" i="27"/>
  <c r="BG30" i="27"/>
  <c r="CO28" i="27"/>
  <c r="AS37" i="27"/>
  <c r="BG36" i="27"/>
  <c r="CO36" i="27"/>
  <c r="I11" i="26"/>
  <c r="H85" i="26"/>
  <c r="Q11" i="26"/>
  <c r="P85" i="26"/>
  <c r="M11" i="26"/>
  <c r="L85" i="26"/>
  <c r="FC26" i="26"/>
  <c r="FL25" i="26" s="1"/>
  <c r="HO11" i="26"/>
  <c r="EF22" i="26"/>
  <c r="ER22" i="26" s="1"/>
  <c r="EF21" i="26"/>
  <c r="ER21" i="26" s="1"/>
  <c r="EF23" i="26"/>
  <c r="ER23" i="26" s="1"/>
  <c r="AY13" i="27"/>
  <c r="AY46" i="27" s="1"/>
  <c r="BF13" i="27"/>
  <c r="BF46" i="27" s="1"/>
  <c r="BE13" i="27"/>
  <c r="BE46" i="27" s="1"/>
  <c r="BD13" i="27"/>
  <c r="BD46" i="27" s="1"/>
  <c r="CH13" i="27"/>
  <c r="CH46" i="27" s="1"/>
  <c r="BC13" i="27"/>
  <c r="BC46" i="27" s="1"/>
  <c r="BB13" i="27"/>
  <c r="BB46" i="27" s="1"/>
  <c r="BA13" i="27"/>
  <c r="BA46" i="27" s="1"/>
  <c r="AZ13" i="27"/>
  <c r="AZ46" i="27" s="1"/>
  <c r="AO19" i="27"/>
  <c r="AY44" i="27"/>
  <c r="AO44" i="27"/>
  <c r="AN19" i="27"/>
  <c r="BB19" i="27" s="1"/>
  <c r="AK19" i="27"/>
  <c r="AY19" i="27" s="1"/>
  <c r="AR19" i="27"/>
  <c r="AQ19" i="27"/>
  <c r="BE19" i="27" s="1"/>
  <c r="AP19" i="27"/>
  <c r="AM19" i="27"/>
  <c r="BA19" i="27" s="1"/>
  <c r="AL19" i="27"/>
  <c r="AZ19" i="27" s="1"/>
  <c r="AS44" i="27"/>
  <c r="AC14" i="27"/>
  <c r="CS14" i="27"/>
  <c r="CS15" i="27"/>
  <c r="CN15" i="27"/>
  <c r="CT15" i="27" s="1"/>
  <c r="FC32" i="26"/>
  <c r="FC41" i="26"/>
  <c r="FC17" i="26"/>
  <c r="FK11" i="26"/>
  <c r="FB41" i="26"/>
  <c r="FB32" i="26"/>
  <c r="FB17" i="26"/>
  <c r="FG40" i="26"/>
  <c r="FG16" i="26"/>
  <c r="FG31" i="26"/>
  <c r="FH40" i="26"/>
  <c r="FH16" i="26"/>
  <c r="FH31" i="26"/>
  <c r="BH37" i="26"/>
  <c r="BH53" i="26"/>
  <c r="BH64" i="26" s="1"/>
  <c r="BH51" i="26"/>
  <c r="BH52" i="26"/>
  <c r="BH13" i="26"/>
  <c r="BH14" i="26"/>
  <c r="BH28" i="26"/>
  <c r="BH38" i="26"/>
  <c r="BH16" i="26"/>
  <c r="BH49" i="26"/>
  <c r="BH34" i="26"/>
  <c r="BH42" i="26"/>
  <c r="BH30" i="26"/>
  <c r="BH31" i="26"/>
  <c r="BH32" i="26"/>
  <c r="BH15" i="26"/>
  <c r="BH47" i="26"/>
  <c r="BH26" i="26"/>
  <c r="BH48" i="26"/>
  <c r="BH27" i="26"/>
  <c r="BH40" i="26"/>
  <c r="BH18" i="26"/>
  <c r="BH50" i="26"/>
  <c r="BH33" i="26"/>
  <c r="BH46" i="26"/>
  <c r="BH19" i="26"/>
  <c r="BH29" i="26"/>
  <c r="BH35" i="26"/>
  <c r="BG51" i="26"/>
  <c r="BG38" i="26"/>
  <c r="BG27" i="26"/>
  <c r="BG28" i="26"/>
  <c r="BG41" i="26"/>
  <c r="BG12" i="26"/>
  <c r="BG29" i="26"/>
  <c r="BG42" i="26"/>
  <c r="JG37" i="26"/>
  <c r="BG37" i="26"/>
  <c r="BG18" i="26"/>
  <c r="BG47" i="26"/>
  <c r="BG14" i="26"/>
  <c r="BG13" i="26"/>
  <c r="BG52" i="26"/>
  <c r="BG26" i="26"/>
  <c r="BG55" i="26"/>
  <c r="BG64" i="26" s="1"/>
  <c r="BG40" i="26"/>
  <c r="BG45" i="26"/>
  <c r="BG31" i="26"/>
  <c r="BG46" i="26"/>
  <c r="BG33" i="26"/>
  <c r="BG48" i="26"/>
  <c r="BG34" i="26"/>
  <c r="BG49" i="26"/>
  <c r="BG15" i="26"/>
  <c r="BG35" i="26"/>
  <c r="BG50" i="26"/>
  <c r="CS29" i="27"/>
  <c r="CM67" i="27"/>
  <c r="CM66" i="27"/>
  <c r="CK18" i="26"/>
  <c r="DL18" i="26" s="1"/>
  <c r="CS30" i="27"/>
  <c r="CM63" i="27"/>
  <c r="CS28" i="27"/>
  <c r="CM62" i="27"/>
  <c r="CK20" i="26"/>
  <c r="GW29" i="26" s="1"/>
  <c r="BB9" i="27"/>
  <c r="BP9" i="27" s="1"/>
  <c r="O64" i="27"/>
  <c r="N64" i="27"/>
  <c r="CU13" i="27"/>
  <c r="CU46" i="27" s="1"/>
  <c r="N57" i="27"/>
  <c r="AQ57" i="27" s="1"/>
  <c r="AK158" i="27"/>
  <c r="GW60" i="26"/>
  <c r="GW61" i="26" s="1"/>
  <c r="L64" i="27"/>
  <c r="M64" i="27"/>
  <c r="P64" i="27"/>
  <c r="CK51" i="26"/>
  <c r="DL51" i="26" s="1"/>
  <c r="CU40" i="27"/>
  <c r="CG40" i="27"/>
  <c r="CU24" i="27"/>
  <c r="CG22" i="27"/>
  <c r="CG24" i="27"/>
  <c r="CU22" i="27"/>
  <c r="CS13" i="27"/>
  <c r="L59" i="27"/>
  <c r="L67" i="27" s="1"/>
  <c r="O58" i="27"/>
  <c r="O66" i="27" s="1"/>
  <c r="L58" i="27"/>
  <c r="L66" i="27" s="1"/>
  <c r="O59" i="27"/>
  <c r="O67" i="27" s="1"/>
  <c r="GW58" i="26"/>
  <c r="GW56" i="26"/>
  <c r="GW59" i="26" s="1"/>
  <c r="FL11" i="26"/>
  <c r="CG38" i="27"/>
  <c r="CG39" i="27"/>
  <c r="CG16" i="27"/>
  <c r="CG18" i="27"/>
  <c r="CH18" i="27"/>
  <c r="CH17" i="27"/>
  <c r="N58" i="27"/>
  <c r="N66" i="27" s="1"/>
  <c r="N59" i="27"/>
  <c r="N67" i="27" s="1"/>
  <c r="CH24" i="27"/>
  <c r="P59" i="27"/>
  <c r="P67" i="27" s="1"/>
  <c r="P58" i="27"/>
  <c r="P66" i="27" s="1"/>
  <c r="M58" i="27"/>
  <c r="M66" i="27" s="1"/>
  <c r="M59" i="27"/>
  <c r="M67" i="27" s="1"/>
  <c r="CH21" i="27"/>
  <c r="CK28" i="26"/>
  <c r="DL28" i="26" s="1"/>
  <c r="CG23" i="27"/>
  <c r="CG17" i="27"/>
  <c r="CH39" i="27"/>
  <c r="CH22" i="27"/>
  <c r="CG35" i="27"/>
  <c r="CG13" i="27"/>
  <c r="CG46" i="27" s="1"/>
  <c r="BC144" i="27"/>
  <c r="AK173" i="27"/>
  <c r="AY144" i="27"/>
  <c r="M44" i="27"/>
  <c r="M57" i="27"/>
  <c r="AP57" i="27" s="1"/>
  <c r="IF21" i="26"/>
  <c r="CK49" i="26"/>
  <c r="DL49" i="26" s="1"/>
  <c r="BA10" i="27"/>
  <c r="BO10" i="27" s="1"/>
  <c r="AZ10" i="27"/>
  <c r="BN10" i="27" s="1"/>
  <c r="CP10" i="26"/>
  <c r="CY10" i="26" s="1"/>
  <c r="CP105" i="26"/>
  <c r="CQ10" i="26"/>
  <c r="CZ10" i="26" s="1"/>
  <c r="CQ105" i="26"/>
  <c r="CR10" i="26"/>
  <c r="DA10" i="26" s="1"/>
  <c r="CR105" i="26"/>
  <c r="CS10" i="26"/>
  <c r="DB10" i="26" s="1"/>
  <c r="CS105" i="26"/>
  <c r="CT10" i="26"/>
  <c r="DC10" i="26" s="1"/>
  <c r="CT105" i="26"/>
  <c r="CU10" i="26"/>
  <c r="DD10" i="26" s="1"/>
  <c r="CU105" i="26"/>
  <c r="CV10" i="26"/>
  <c r="DE10" i="26" s="1"/>
  <c r="CV105" i="26"/>
  <c r="CS11" i="26"/>
  <c r="CS106" i="26"/>
  <c r="CL10" i="26"/>
  <c r="CL105" i="26"/>
  <c r="CM10" i="26"/>
  <c r="CM105" i="26"/>
  <c r="CN10" i="26"/>
  <c r="CN105" i="26"/>
  <c r="CO10" i="26"/>
  <c r="CX10" i="26" s="1"/>
  <c r="CO105" i="26"/>
  <c r="CO11" i="26"/>
  <c r="CO106" i="26"/>
  <c r="CK11" i="26"/>
  <c r="CK106" i="26"/>
  <c r="CK10" i="26"/>
  <c r="CK105" i="26"/>
  <c r="AD11" i="26"/>
  <c r="BZ11" i="26"/>
  <c r="Z11" i="26"/>
  <c r="BV11" i="26"/>
  <c r="V11" i="26"/>
  <c r="BR11" i="26"/>
  <c r="AW146" i="27"/>
  <c r="AW147" i="27"/>
  <c r="AW145" i="27"/>
  <c r="CL43" i="27"/>
  <c r="BY43" i="27"/>
  <c r="AW43" i="27"/>
  <c r="AH43" i="27"/>
  <c r="E15" i="27"/>
  <c r="U15" i="27" s="1"/>
  <c r="E14" i="27"/>
  <c r="U14" i="27" s="1"/>
  <c r="AH49" i="27"/>
  <c r="AH48" i="27"/>
  <c r="AH47" i="27"/>
  <c r="AH45" i="27"/>
  <c r="AW49" i="27"/>
  <c r="AW48" i="27"/>
  <c r="AW47" i="27"/>
  <c r="AW45" i="27"/>
  <c r="BY49" i="27"/>
  <c r="BY48" i="27"/>
  <c r="BY47" i="27"/>
  <c r="BY45" i="27"/>
  <c r="CL49" i="27"/>
  <c r="CL48" i="27"/>
  <c r="CL47" i="27"/>
  <c r="CL45" i="27"/>
  <c r="E31" i="27"/>
  <c r="E29" i="27"/>
  <c r="AH147" i="27"/>
  <c r="AH145" i="27"/>
  <c r="AH149" i="27"/>
  <c r="AH148" i="27"/>
  <c r="AH175" i="27"/>
  <c r="GR14" i="26" l="1"/>
  <c r="GQ14" i="26"/>
  <c r="GA32" i="26"/>
  <c r="GB32" i="26"/>
  <c r="HO303" i="26"/>
  <c r="HO354" i="26"/>
  <c r="HO325" i="26"/>
  <c r="V85" i="26"/>
  <c r="AJ11" i="26"/>
  <c r="Z85" i="26"/>
  <c r="AN11" i="26"/>
  <c r="AD85" i="26"/>
  <c r="AR11" i="26"/>
  <c r="DL20" i="26"/>
  <c r="CX20" i="26"/>
  <c r="GW11" i="26"/>
  <c r="GW28" i="26" s="1"/>
  <c r="HE11" i="26"/>
  <c r="HE54" i="26" s="1"/>
  <c r="DB11" i="26"/>
  <c r="HA11" i="26"/>
  <c r="HA28" i="26" s="1"/>
  <c r="CX11" i="26"/>
  <c r="GA11" i="26"/>
  <c r="CS47" i="27"/>
  <c r="BG65" i="26"/>
  <c r="BP19" i="27"/>
  <c r="BN19" i="27"/>
  <c r="AY57" i="27"/>
  <c r="AY78" i="27"/>
  <c r="BM44" i="27"/>
  <c r="AC46" i="27"/>
  <c r="AC48" i="27"/>
  <c r="BV30" i="27"/>
  <c r="BO13" i="27"/>
  <c r="BO46" i="27" s="1"/>
  <c r="BP13" i="27"/>
  <c r="BP46" i="27" s="1"/>
  <c r="BO19" i="27"/>
  <c r="BQ13" i="27"/>
  <c r="BQ46" i="27" s="1"/>
  <c r="BS13" i="27"/>
  <c r="BS46" i="27" s="1"/>
  <c r="BN13" i="27"/>
  <c r="BN46" i="27" s="1"/>
  <c r="BR13" i="27"/>
  <c r="BR46" i="27" s="1"/>
  <c r="BT13" i="27"/>
  <c r="BT46" i="27" s="1"/>
  <c r="BU13" i="27"/>
  <c r="BU46" i="27" s="1"/>
  <c r="BG146" i="27"/>
  <c r="BV36" i="27"/>
  <c r="CS46" i="27"/>
  <c r="CS49" i="27"/>
  <c r="HE41" i="26"/>
  <c r="HE48" i="26" s="1"/>
  <c r="DT19" i="26"/>
  <c r="CS25" i="26"/>
  <c r="CT29" i="26"/>
  <c r="DU29" i="26" s="1"/>
  <c r="DU25" i="26"/>
  <c r="JB14" i="26"/>
  <c r="EM14" i="26"/>
  <c r="JB19" i="26"/>
  <c r="EM19" i="26"/>
  <c r="HO277" i="26"/>
  <c r="HO285" i="26"/>
  <c r="HO258" i="26"/>
  <c r="HO265" i="26"/>
  <c r="HO215" i="26"/>
  <c r="HO247" i="26"/>
  <c r="HO184" i="26"/>
  <c r="HO192" i="26"/>
  <c r="HO165" i="26"/>
  <c r="HO172" i="26"/>
  <c r="HO122" i="26"/>
  <c r="HO154" i="26"/>
  <c r="AS63" i="27"/>
  <c r="HO54" i="26"/>
  <c r="HO116" i="26"/>
  <c r="HO87" i="26"/>
  <c r="HO93" i="26"/>
  <c r="HO209" i="26"/>
  <c r="HO28" i="26"/>
  <c r="AS62" i="27"/>
  <c r="GW232" i="26"/>
  <c r="GW234" i="26" s="1"/>
  <c r="BG28" i="27"/>
  <c r="AS32" i="27"/>
  <c r="AS47" i="27" s="1"/>
  <c r="HF30" i="26"/>
  <c r="HF33" i="26" s="1"/>
  <c r="BH63" i="26"/>
  <c r="BG63" i="26"/>
  <c r="BG60" i="26"/>
  <c r="BG62" i="26"/>
  <c r="BG61" i="26"/>
  <c r="BH62" i="26"/>
  <c r="EC12" i="26"/>
  <c r="BF19" i="27"/>
  <c r="CB19" i="27"/>
  <c r="CI19" i="27" s="1"/>
  <c r="BD19" i="27"/>
  <c r="CA19" i="27"/>
  <c r="CH19" i="27" s="1"/>
  <c r="AY12" i="26"/>
  <c r="AF21" i="18" s="1"/>
  <c r="AF23" i="18" s="1"/>
  <c r="BJ12" i="26"/>
  <c r="BJ60" i="26" s="1"/>
  <c r="BL12" i="26"/>
  <c r="BL60" i="26" s="1"/>
  <c r="BB12" i="26"/>
  <c r="AI21" i="18" s="1"/>
  <c r="AI23" i="18" s="1"/>
  <c r="EX43" i="26"/>
  <c r="BG19" i="26"/>
  <c r="CO32" i="27"/>
  <c r="CO47" i="27" s="1"/>
  <c r="CO37" i="27"/>
  <c r="BG37" i="27"/>
  <c r="N11" i="26"/>
  <c r="N85" i="26" s="1"/>
  <c r="M85" i="26"/>
  <c r="R11" i="26"/>
  <c r="R85" i="26" s="1"/>
  <c r="Q85" i="26"/>
  <c r="J11" i="26"/>
  <c r="J85" i="26" s="1"/>
  <c r="I85" i="26"/>
  <c r="EI23" i="26"/>
  <c r="EI22" i="26"/>
  <c r="EI21" i="26"/>
  <c r="BG44" i="27"/>
  <c r="AS86" i="27"/>
  <c r="AS137" i="27" s="1"/>
  <c r="AO155" i="27"/>
  <c r="AO86" i="27"/>
  <c r="AO137" i="27" s="1"/>
  <c r="EH23" i="26"/>
  <c r="EH21" i="26"/>
  <c r="EH22" i="26"/>
  <c r="IF72" i="26"/>
  <c r="IG72" i="26"/>
  <c r="HH30" i="26"/>
  <c r="HH33" i="26" s="1"/>
  <c r="HG30" i="26"/>
  <c r="HG33" i="26" s="1"/>
  <c r="EF15" i="26"/>
  <c r="ER15" i="26" s="1"/>
  <c r="EF27" i="26"/>
  <c r="ER27" i="26" s="1"/>
  <c r="EF26" i="26"/>
  <c r="ER26" i="26" s="1"/>
  <c r="EF18" i="26"/>
  <c r="ER18" i="26" s="1"/>
  <c r="EF20" i="26"/>
  <c r="ER20" i="26" s="1"/>
  <c r="EF50" i="26"/>
  <c r="BC44" i="27"/>
  <c r="AO173" i="27"/>
  <c r="BC19" i="27"/>
  <c r="BQ19" i="27" s="1"/>
  <c r="AS155" i="27"/>
  <c r="AS173" i="27"/>
  <c r="AK25" i="27"/>
  <c r="AL25" i="27"/>
  <c r="AL48" i="27" s="1"/>
  <c r="AM25" i="27"/>
  <c r="AM48" i="27" s="1"/>
  <c r="AQ25" i="27"/>
  <c r="AQ48" i="27" s="1"/>
  <c r="AR25" i="27"/>
  <c r="AR48" i="27" s="1"/>
  <c r="AN25" i="27"/>
  <c r="AN48" i="27" s="1"/>
  <c r="AZ44" i="27"/>
  <c r="AP44" i="27"/>
  <c r="AP25" i="27"/>
  <c r="AP48" i="27" s="1"/>
  <c r="AO25" i="27"/>
  <c r="AO48" i="27" s="1"/>
  <c r="U31" i="27"/>
  <c r="U29" i="27"/>
  <c r="CN13" i="27"/>
  <c r="CM68" i="27"/>
  <c r="CS62" i="27"/>
  <c r="FK16" i="26"/>
  <c r="FK40" i="26"/>
  <c r="FK31" i="26"/>
  <c r="FL16" i="26"/>
  <c r="FL40" i="26"/>
  <c r="FL31" i="26"/>
  <c r="BH45" i="26"/>
  <c r="GW262" i="26"/>
  <c r="CS67" i="27"/>
  <c r="CS66" i="27"/>
  <c r="CM71" i="27"/>
  <c r="EM12" i="26"/>
  <c r="CM64" i="27"/>
  <c r="CM70" i="27"/>
  <c r="CS63" i="27"/>
  <c r="BC9" i="27"/>
  <c r="BQ9" i="27" s="1"/>
  <c r="BF10" i="27"/>
  <c r="BC10" i="27"/>
  <c r="BD10" i="27"/>
  <c r="BR10" i="27" s="1"/>
  <c r="BE10" i="27"/>
  <c r="BS10" i="27" s="1"/>
  <c r="BB10" i="27"/>
  <c r="BP10" i="27" s="1"/>
  <c r="BE9" i="27"/>
  <c r="BS9" i="27" s="1"/>
  <c r="BD9" i="27"/>
  <c r="BF9" i="27"/>
  <c r="CH35" i="27"/>
  <c r="AO148" i="27"/>
  <c r="AO36" i="27" s="1"/>
  <c r="AO145" i="27"/>
  <c r="AR145" i="27"/>
  <c r="AR148" i="27"/>
  <c r="AR36" i="27" s="1"/>
  <c r="AL148" i="27"/>
  <c r="AL36" i="27" s="1"/>
  <c r="AL145" i="27"/>
  <c r="AP145" i="27"/>
  <c r="AP148" i="27"/>
  <c r="AP36" i="27" s="1"/>
  <c r="AN145" i="27"/>
  <c r="AN148" i="27"/>
  <c r="AN36" i="27" s="1"/>
  <c r="AM148" i="27"/>
  <c r="AM36" i="27" s="1"/>
  <c r="AM145" i="27"/>
  <c r="AQ148" i="27"/>
  <c r="AQ36" i="27" s="1"/>
  <c r="AQ145" i="27"/>
  <c r="N44" i="27"/>
  <c r="O60" i="27"/>
  <c r="O68" i="27" s="1"/>
  <c r="AK148" i="27"/>
  <c r="AK36" i="27" s="1"/>
  <c r="GW124" i="26" s="1"/>
  <c r="AK145" i="27"/>
  <c r="BQ33" i="26"/>
  <c r="CK52" i="26"/>
  <c r="DL52" i="26" s="1"/>
  <c r="CV94" i="26"/>
  <c r="AT161" i="27"/>
  <c r="AT165" i="27" s="1"/>
  <c r="CU94" i="26"/>
  <c r="DO10" i="26"/>
  <c r="DU10" i="26"/>
  <c r="DL10" i="26"/>
  <c r="DS10" i="26"/>
  <c r="DT11" i="26"/>
  <c r="DR10" i="26"/>
  <c r="DP11" i="26"/>
  <c r="DQ10" i="26"/>
  <c r="DP10" i="26"/>
  <c r="DV10" i="26"/>
  <c r="DN10" i="26"/>
  <c r="DT10" i="26"/>
  <c r="DM10" i="26"/>
  <c r="DL11" i="26"/>
  <c r="DW10" i="26"/>
  <c r="GW97" i="26"/>
  <c r="GW18" i="26" s="1"/>
  <c r="CN40" i="27"/>
  <c r="CT40" i="27" s="1"/>
  <c r="CN24" i="27"/>
  <c r="CT24" i="27" s="1"/>
  <c r="CU21" i="27"/>
  <c r="CH38" i="27"/>
  <c r="CH23" i="27"/>
  <c r="CU38" i="27"/>
  <c r="CU39" i="27"/>
  <c r="CU35" i="27"/>
  <c r="CU16" i="27"/>
  <c r="CU17" i="27"/>
  <c r="CU18" i="27"/>
  <c r="N60" i="27"/>
  <c r="N68" i="27" s="1"/>
  <c r="M60" i="27"/>
  <c r="M68" i="27" s="1"/>
  <c r="CN19" i="27"/>
  <c r="CT19" i="27" s="1"/>
  <c r="CU19" i="27"/>
  <c r="P60" i="27"/>
  <c r="P68" i="27" s="1"/>
  <c r="CG19" i="27"/>
  <c r="AL173" i="27"/>
  <c r="AZ144" i="27"/>
  <c r="AY10" i="27"/>
  <c r="BM10" i="27" s="1"/>
  <c r="CP83" i="26"/>
  <c r="CQ83" i="26"/>
  <c r="CR83" i="26"/>
  <c r="CS83" i="26"/>
  <c r="CT83" i="26"/>
  <c r="CU83" i="26"/>
  <c r="CV83" i="26"/>
  <c r="CS84" i="26"/>
  <c r="CS99" i="26" s="1"/>
  <c r="CL83" i="26"/>
  <c r="CM83" i="26"/>
  <c r="CN83" i="26"/>
  <c r="CO83" i="26"/>
  <c r="CO84" i="26"/>
  <c r="CO99" i="26" s="1"/>
  <c r="CK84" i="26"/>
  <c r="CK99" i="26" s="1"/>
  <c r="CK83" i="26"/>
  <c r="CT11" i="26"/>
  <c r="CT106" i="26"/>
  <c r="CP11" i="26"/>
  <c r="CP106" i="26"/>
  <c r="CL11" i="26"/>
  <c r="CL106" i="26"/>
  <c r="CA11" i="26"/>
  <c r="AE11" i="26"/>
  <c r="AS11" i="26" s="1"/>
  <c r="BW11" i="26"/>
  <c r="AA11" i="26"/>
  <c r="AO11" i="26" s="1"/>
  <c r="BS11" i="26"/>
  <c r="W11" i="26"/>
  <c r="AK11" i="26" s="1"/>
  <c r="GQ32" i="26" l="1"/>
  <c r="GR32" i="26"/>
  <c r="HE28" i="26"/>
  <c r="HE264" i="26" s="1"/>
  <c r="FG42" i="26"/>
  <c r="FW27" i="26"/>
  <c r="GW302" i="26"/>
  <c r="GW324" i="26"/>
  <c r="GW353" i="26"/>
  <c r="HA302" i="26"/>
  <c r="HA353" i="26"/>
  <c r="HA324" i="26"/>
  <c r="EO12" i="26"/>
  <c r="GW54" i="26"/>
  <c r="GX11" i="26"/>
  <c r="GX28" i="26" s="1"/>
  <c r="HB11" i="26"/>
  <c r="HB28" i="26" s="1"/>
  <c r="CY11" i="26"/>
  <c r="HF11" i="26"/>
  <c r="HF28" i="26" s="1"/>
  <c r="DC11" i="26"/>
  <c r="HA54" i="26"/>
  <c r="BR19" i="27"/>
  <c r="BG57" i="27"/>
  <c r="BG78" i="27"/>
  <c r="BU44" i="27"/>
  <c r="BT19" i="27"/>
  <c r="BU19" i="27"/>
  <c r="BV28" i="27"/>
  <c r="BS19" i="27"/>
  <c r="BC57" i="27"/>
  <c r="BC78" i="27"/>
  <c r="BQ44" i="27"/>
  <c r="AZ57" i="27"/>
  <c r="BN44" i="27"/>
  <c r="AZ78" i="27"/>
  <c r="BV37" i="27"/>
  <c r="CT13" i="27"/>
  <c r="CT46" i="27" s="1"/>
  <c r="CN46" i="27"/>
  <c r="AY25" i="27"/>
  <c r="AY48" i="27" s="1"/>
  <c r="AK48" i="27"/>
  <c r="CA9" i="27"/>
  <c r="CH9" i="27" s="1"/>
  <c r="BR9" i="27"/>
  <c r="CB9" i="27"/>
  <c r="CI9" i="27" s="1"/>
  <c r="BT9" i="27"/>
  <c r="CH10" i="27"/>
  <c r="BQ10" i="27"/>
  <c r="CB10" i="27"/>
  <c r="CI10" i="27" s="1"/>
  <c r="BT10" i="27"/>
  <c r="CA25" i="27"/>
  <c r="CA48" i="27" s="1"/>
  <c r="CB25" i="27"/>
  <c r="AK146" i="27"/>
  <c r="AK147" i="27"/>
  <c r="AK30" i="27" s="1"/>
  <c r="AY30" i="27" s="1"/>
  <c r="BG62" i="27"/>
  <c r="AS64" i="27"/>
  <c r="CS29" i="26"/>
  <c r="DT29" i="26" s="1"/>
  <c r="DT25" i="26"/>
  <c r="EF51" i="26"/>
  <c r="ER51" i="26" s="1"/>
  <c r="ER50" i="26"/>
  <c r="BH61" i="26"/>
  <c r="BH65" i="26"/>
  <c r="BG63" i="27"/>
  <c r="HE118" i="26"/>
  <c r="HJ161" i="26" s="1"/>
  <c r="AS41" i="27"/>
  <c r="HA284" i="26"/>
  <c r="HA276" i="26"/>
  <c r="HA257" i="26"/>
  <c r="HA264" i="26"/>
  <c r="GW284" i="26"/>
  <c r="GW276" i="26"/>
  <c r="GW257" i="26"/>
  <c r="GW264" i="26"/>
  <c r="HA171" i="26"/>
  <c r="HA183" i="26"/>
  <c r="HA164" i="26"/>
  <c r="HA191" i="26"/>
  <c r="GW183" i="26"/>
  <c r="GW171" i="26"/>
  <c r="GW164" i="26"/>
  <c r="GW191" i="26"/>
  <c r="HA153" i="26"/>
  <c r="HA246" i="26"/>
  <c r="GW153" i="26"/>
  <c r="GW246" i="26"/>
  <c r="HA121" i="26"/>
  <c r="HA214" i="26"/>
  <c r="GW121" i="26"/>
  <c r="GW214" i="26"/>
  <c r="HJ30" i="26"/>
  <c r="HE166" i="26"/>
  <c r="BG32" i="27"/>
  <c r="BG47" i="27" s="1"/>
  <c r="GW64" i="26"/>
  <c r="GW71" i="26"/>
  <c r="GW117" i="26"/>
  <c r="GW210" i="26"/>
  <c r="GW212" i="26" s="1"/>
  <c r="GW69" i="26" s="1"/>
  <c r="GW68" i="26"/>
  <c r="HA167" i="26"/>
  <c r="HA124" i="26"/>
  <c r="GY124" i="26"/>
  <c r="GY167" i="26"/>
  <c r="HC167" i="26"/>
  <c r="HC124" i="26"/>
  <c r="CA36" i="27"/>
  <c r="HB167" i="26"/>
  <c r="HB124" i="26"/>
  <c r="GZ124" i="26"/>
  <c r="GZ167" i="26"/>
  <c r="GX124" i="26"/>
  <c r="GX167" i="26"/>
  <c r="CB36" i="27"/>
  <c r="CI36" i="27" s="1"/>
  <c r="HD124" i="26"/>
  <c r="HD167" i="26"/>
  <c r="HO167" i="26" s="1"/>
  <c r="H68" i="45" s="1"/>
  <c r="EA25" i="26"/>
  <c r="IC72" i="26"/>
  <c r="HL12" i="26"/>
  <c r="BH12" i="26"/>
  <c r="BH60" i="26" s="1"/>
  <c r="AY60" i="26"/>
  <c r="BK12" i="26"/>
  <c r="BK60" i="26" s="1"/>
  <c r="BB60" i="26"/>
  <c r="EC19" i="26"/>
  <c r="EO19" i="26" s="1"/>
  <c r="EC14" i="26"/>
  <c r="EO14" i="26" s="1"/>
  <c r="EB12" i="26"/>
  <c r="ED12" i="26"/>
  <c r="EE12" i="26"/>
  <c r="CT94" i="26"/>
  <c r="BZ33" i="26"/>
  <c r="EA33" i="26"/>
  <c r="EF12" i="26"/>
  <c r="EX27" i="26"/>
  <c r="FP26" i="26" s="1"/>
  <c r="CO41" i="27"/>
  <c r="CB11" i="26"/>
  <c r="CV11" i="26" s="1"/>
  <c r="AE85" i="26"/>
  <c r="BX11" i="26"/>
  <c r="CR11" i="26" s="1"/>
  <c r="AA85" i="26"/>
  <c r="BT11" i="26"/>
  <c r="CN11" i="26" s="1"/>
  <c r="W85" i="26"/>
  <c r="EI20" i="26"/>
  <c r="AP155" i="27"/>
  <c r="AP86" i="27"/>
  <c r="AP137" i="27" s="1"/>
  <c r="EH20" i="26"/>
  <c r="EX36" i="26"/>
  <c r="EX12" i="26"/>
  <c r="FP12" i="26" s="1"/>
  <c r="BB25" i="27"/>
  <c r="BB48" i="27" s="1"/>
  <c r="BA25" i="27"/>
  <c r="BA48" i="27" s="1"/>
  <c r="AZ25" i="27"/>
  <c r="AZ48" i="27" s="1"/>
  <c r="BF25" i="27"/>
  <c r="BF48" i="27" s="1"/>
  <c r="BD25" i="27"/>
  <c r="BD48" i="27" s="1"/>
  <c r="BE25" i="27"/>
  <c r="BE48" i="27" s="1"/>
  <c r="HF196" i="26"/>
  <c r="HH196" i="26"/>
  <c r="HH202" i="26" s="1"/>
  <c r="HG196" i="26"/>
  <c r="HG202" i="26" s="1"/>
  <c r="EF28" i="26"/>
  <c r="ER28" i="26" s="1"/>
  <c r="EF16" i="26"/>
  <c r="ER16" i="26" s="1"/>
  <c r="EB33" i="26"/>
  <c r="EN33" i="26" s="1"/>
  <c r="BC25" i="27"/>
  <c r="BC48" i="27" s="1"/>
  <c r="BA44" i="27"/>
  <c r="AQ44" i="27"/>
  <c r="CS71" i="27"/>
  <c r="CM72" i="27"/>
  <c r="CS68" i="27"/>
  <c r="CS70" i="27"/>
  <c r="CN25" i="27"/>
  <c r="CS64" i="27"/>
  <c r="AR149" i="27"/>
  <c r="AR151" i="27" s="1"/>
  <c r="AP149" i="27"/>
  <c r="AP151" i="27" s="1"/>
  <c r="AO149" i="27"/>
  <c r="AO151" i="27" s="1"/>
  <c r="BA144" i="27"/>
  <c r="AM173" i="27"/>
  <c r="AQ149" i="27"/>
  <c r="AQ151" i="27" s="1"/>
  <c r="AM149" i="27"/>
  <c r="AM151" i="27" s="1"/>
  <c r="AL146" i="27"/>
  <c r="AL147" i="27"/>
  <c r="AN149" i="27"/>
  <c r="AN151" i="27" s="1"/>
  <c r="AL149" i="27"/>
  <c r="AL151" i="27" s="1"/>
  <c r="AM146" i="27"/>
  <c r="AM147" i="27"/>
  <c r="AM30" i="27" s="1"/>
  <c r="AN146" i="27"/>
  <c r="AN147" i="27"/>
  <c r="AR147" i="27"/>
  <c r="AR146" i="27"/>
  <c r="AP147" i="27"/>
  <c r="AP146" i="27"/>
  <c r="AO146" i="27"/>
  <c r="AO147" i="27"/>
  <c r="AO30" i="27" s="1"/>
  <c r="AQ147" i="27"/>
  <c r="AQ146" i="27"/>
  <c r="Q2" i="27"/>
  <c r="Q51" i="27" s="1"/>
  <c r="O57" i="27"/>
  <c r="AR57" i="27" s="1"/>
  <c r="O44" i="27"/>
  <c r="AR44" i="27" s="1"/>
  <c r="AK161" i="27"/>
  <c r="AK165" i="27" s="1"/>
  <c r="CK34" i="26"/>
  <c r="CK41" i="26" s="1"/>
  <c r="AK149" i="27"/>
  <c r="AK151" i="27" s="1"/>
  <c r="DM11" i="26"/>
  <c r="DQ11" i="26"/>
  <c r="DU11" i="26"/>
  <c r="CG25" i="27"/>
  <c r="CG48" i="27" s="1"/>
  <c r="CT84" i="26"/>
  <c r="CT99" i="26" s="1"/>
  <c r="CP84" i="26"/>
  <c r="CP99" i="26" s="1"/>
  <c r="CL84" i="26"/>
  <c r="CL99" i="26" s="1"/>
  <c r="CU11" i="26"/>
  <c r="CU106" i="26"/>
  <c r="CQ11" i="26"/>
  <c r="CQ106" i="26"/>
  <c r="CM11" i="26"/>
  <c r="CM106" i="26"/>
  <c r="HE276" i="26" l="1"/>
  <c r="HE284" i="26"/>
  <c r="HE183" i="26"/>
  <c r="HO148" i="26"/>
  <c r="H30" i="45" s="1"/>
  <c r="HL148" i="26"/>
  <c r="E30" i="45" s="1"/>
  <c r="HM148" i="26"/>
  <c r="F30" i="45" s="1"/>
  <c r="HK148" i="26"/>
  <c r="D30" i="45" s="1"/>
  <c r="HN148" i="26"/>
  <c r="G30" i="45" s="1"/>
  <c r="HE121" i="26"/>
  <c r="HE164" i="26"/>
  <c r="HE246" i="26"/>
  <c r="HE153" i="26"/>
  <c r="HE214" i="26"/>
  <c r="HE353" i="26"/>
  <c r="HE324" i="26"/>
  <c r="HE171" i="26"/>
  <c r="HE257" i="26"/>
  <c r="HE302" i="26"/>
  <c r="HE191" i="26"/>
  <c r="GF12" i="26"/>
  <c r="C13" i="45"/>
  <c r="GM27" i="26"/>
  <c r="GF26" i="26"/>
  <c r="HJ334" i="26"/>
  <c r="HJ336" i="26" s="1"/>
  <c r="C23" i="45"/>
  <c r="FG35" i="26"/>
  <c r="FW19" i="26"/>
  <c r="FG26" i="26"/>
  <c r="GX302" i="26"/>
  <c r="GX353" i="26"/>
  <c r="GX324" i="26"/>
  <c r="HF302" i="26"/>
  <c r="HF353" i="26"/>
  <c r="HF324" i="26"/>
  <c r="HB302" i="26"/>
  <c r="HB324" i="26"/>
  <c r="HB353" i="26"/>
  <c r="EQ12" i="26"/>
  <c r="EN12" i="26"/>
  <c r="EP12" i="26"/>
  <c r="ER12" i="26"/>
  <c r="EZ12" i="26"/>
  <c r="HL59" i="26"/>
  <c r="ID59" i="26" s="1"/>
  <c r="HE119" i="26"/>
  <c r="HE43" i="26" s="1"/>
  <c r="EX19" i="26"/>
  <c r="HJ33" i="26"/>
  <c r="HF54" i="26"/>
  <c r="HB54" i="26"/>
  <c r="GX54" i="26"/>
  <c r="GZ11" i="26"/>
  <c r="GZ54" i="26" s="1"/>
  <c r="GY11" i="26"/>
  <c r="GY54" i="26" s="1"/>
  <c r="HD11" i="26"/>
  <c r="HD54" i="26" s="1"/>
  <c r="DA11" i="26"/>
  <c r="HC11" i="26"/>
  <c r="HC54" i="26" s="1"/>
  <c r="CZ11" i="26"/>
  <c r="HH11" i="26"/>
  <c r="HH28" i="26" s="1"/>
  <c r="DE11" i="26"/>
  <c r="HG11" i="26"/>
  <c r="HG28" i="26" s="1"/>
  <c r="DD11" i="26"/>
  <c r="FG12" i="26"/>
  <c r="AS45" i="27"/>
  <c r="AS49" i="27"/>
  <c r="BS25" i="27"/>
  <c r="BS48" i="27" s="1"/>
  <c r="BR25" i="27"/>
  <c r="BR48" i="27" s="1"/>
  <c r="BV32" i="27"/>
  <c r="BV47" i="27" s="1"/>
  <c r="BT25" i="27"/>
  <c r="BT48" i="27" s="1"/>
  <c r="BU25" i="27"/>
  <c r="BU48" i="27" s="1"/>
  <c r="BA57" i="27"/>
  <c r="BA78" i="27"/>
  <c r="BO44" i="27"/>
  <c r="BN25" i="27"/>
  <c r="BN48" i="27" s="1"/>
  <c r="CH25" i="27"/>
  <c r="CH48" i="27" s="1"/>
  <c r="BO25" i="27"/>
  <c r="BO48" i="27" s="1"/>
  <c r="BQ25" i="27"/>
  <c r="BQ48" i="27" s="1"/>
  <c r="BP25" i="27"/>
  <c r="BP48" i="27" s="1"/>
  <c r="CO45" i="27"/>
  <c r="CO49" i="27"/>
  <c r="CB44" i="27"/>
  <c r="CI25" i="27"/>
  <c r="CI48" i="27" s="1"/>
  <c r="CB48" i="27"/>
  <c r="BG64" i="27"/>
  <c r="BG41" i="27"/>
  <c r="HE123" i="26"/>
  <c r="HE40" i="26"/>
  <c r="HE42" i="26" s="1"/>
  <c r="HE168" i="26"/>
  <c r="HE169" i="26" s="1"/>
  <c r="HE45" i="26" s="1"/>
  <c r="EM33" i="26"/>
  <c r="JB33" i="26"/>
  <c r="JA33" i="26" s="1"/>
  <c r="GW196" i="26"/>
  <c r="GW202" i="26" s="1"/>
  <c r="DL34" i="26"/>
  <c r="DL41" i="26"/>
  <c r="EM25" i="26"/>
  <c r="JB25" i="26"/>
  <c r="JI25" i="26" s="1"/>
  <c r="JH49" i="26"/>
  <c r="JO49" i="26" s="1"/>
  <c r="BG145" i="27"/>
  <c r="BG147" i="27" s="1"/>
  <c r="GX284" i="26"/>
  <c r="GX264" i="26"/>
  <c r="GX276" i="26"/>
  <c r="GX257" i="26"/>
  <c r="HF276" i="26"/>
  <c r="HF284" i="26"/>
  <c r="HF264" i="26"/>
  <c r="HF257" i="26"/>
  <c r="HB276" i="26"/>
  <c r="HB257" i="26"/>
  <c r="HB284" i="26"/>
  <c r="HB264" i="26"/>
  <c r="HF191" i="26"/>
  <c r="HF171" i="26"/>
  <c r="HF164" i="26"/>
  <c r="HF183" i="26"/>
  <c r="HB183" i="26"/>
  <c r="HB164" i="26"/>
  <c r="HB171" i="26"/>
  <c r="HB191" i="26"/>
  <c r="GX171" i="26"/>
  <c r="GX191" i="26"/>
  <c r="GX183" i="26"/>
  <c r="GX164" i="26"/>
  <c r="HF153" i="26"/>
  <c r="HF246" i="26"/>
  <c r="HB153" i="26"/>
  <c r="HB246" i="26"/>
  <c r="GX153" i="26"/>
  <c r="GX246" i="26"/>
  <c r="GX121" i="26"/>
  <c r="GX214" i="26"/>
  <c r="HB121" i="26"/>
  <c r="HB214" i="26"/>
  <c r="HF121" i="26"/>
  <c r="HF214" i="26"/>
  <c r="HJ196" i="26"/>
  <c r="HJ202" i="26" s="1"/>
  <c r="HF202" i="26"/>
  <c r="HF50" i="26"/>
  <c r="HG50" i="26"/>
  <c r="HH50" i="26"/>
  <c r="HM167" i="26"/>
  <c r="F68" i="45" s="1"/>
  <c r="HK167" i="26"/>
  <c r="D68" i="45" s="1"/>
  <c r="ID12" i="26"/>
  <c r="HL61" i="26"/>
  <c r="ID61" i="26" s="1"/>
  <c r="HG128" i="26"/>
  <c r="HG134" i="26" s="1"/>
  <c r="HG173" i="26"/>
  <c r="HG176" i="26" s="1"/>
  <c r="HF128" i="26"/>
  <c r="HJ143" i="26" s="1"/>
  <c r="HF173" i="26"/>
  <c r="HH128" i="26"/>
  <c r="HH134" i="26" s="1"/>
  <c r="HH173" i="26"/>
  <c r="HH176" i="26" s="1"/>
  <c r="AK150" i="27"/>
  <c r="HG34" i="26"/>
  <c r="HG35" i="26" s="1"/>
  <c r="HF34" i="26"/>
  <c r="HH34" i="26"/>
  <c r="HH35" i="26" s="1"/>
  <c r="IC61" i="26"/>
  <c r="CT89" i="26"/>
  <c r="EA29" i="26"/>
  <c r="IC60" i="26"/>
  <c r="ID13" i="26"/>
  <c r="EE33" i="26"/>
  <c r="AR150" i="27"/>
  <c r="HE30" i="26"/>
  <c r="AP150" i="27"/>
  <c r="AM150" i="27"/>
  <c r="AQ150" i="27"/>
  <c r="AN150" i="27"/>
  <c r="AO28" i="27"/>
  <c r="AO150" i="27"/>
  <c r="AL150" i="27"/>
  <c r="CO94" i="26"/>
  <c r="ED33" i="26"/>
  <c r="EP33" i="26" s="1"/>
  <c r="CS94" i="26"/>
  <c r="EC33" i="26"/>
  <c r="EO33" i="26" s="1"/>
  <c r="HK12" i="26"/>
  <c r="IG12" i="26"/>
  <c r="Q44" i="27"/>
  <c r="AT44" i="27" s="1"/>
  <c r="Q57" i="27"/>
  <c r="AT57" i="27" s="1"/>
  <c r="EA34" i="26"/>
  <c r="EA41" i="26" s="1"/>
  <c r="HR50" i="26" s="1"/>
  <c r="FG13" i="26"/>
  <c r="CV106" i="26"/>
  <c r="EX28" i="26"/>
  <c r="FP27" i="26" s="1"/>
  <c r="CN106" i="26"/>
  <c r="CR106" i="26"/>
  <c r="AR155" i="27"/>
  <c r="AR86" i="27"/>
  <c r="AR137" i="27" s="1"/>
  <c r="AQ155" i="27"/>
  <c r="AQ86" i="27"/>
  <c r="AQ137" i="27" s="1"/>
  <c r="IG60" i="26"/>
  <c r="IG58" i="26"/>
  <c r="IF58" i="26"/>
  <c r="EX39" i="26"/>
  <c r="CT25" i="27"/>
  <c r="IF60" i="26"/>
  <c r="CV89" i="26"/>
  <c r="CV30" i="26" s="1"/>
  <c r="CU89" i="26"/>
  <c r="CU30" i="26" s="1"/>
  <c r="CN94" i="26"/>
  <c r="CQ94" i="26"/>
  <c r="CM94" i="26"/>
  <c r="CR94" i="26"/>
  <c r="CL94" i="26"/>
  <c r="CP94" i="26"/>
  <c r="JI14" i="26"/>
  <c r="BU33" i="26"/>
  <c r="HA196" i="26"/>
  <c r="BY33" i="26"/>
  <c r="HE196" i="26"/>
  <c r="AS161" i="27"/>
  <c r="AS165" i="27" s="1"/>
  <c r="AO161" i="27"/>
  <c r="AO165" i="27" s="1"/>
  <c r="AN161" i="27"/>
  <c r="AN165" i="27" s="1"/>
  <c r="BT33" i="26"/>
  <c r="GZ196" i="26"/>
  <c r="GZ202" i="26" s="1"/>
  <c r="BW33" i="26"/>
  <c r="HC196" i="26"/>
  <c r="BX33" i="26"/>
  <c r="HD196" i="26"/>
  <c r="HD202" i="26" s="1"/>
  <c r="HB196" i="26"/>
  <c r="BV33" i="26"/>
  <c r="GY196" i="26"/>
  <c r="GY202" i="26" s="1"/>
  <c r="BS33" i="26"/>
  <c r="AL161" i="27"/>
  <c r="AL165" i="27" s="1"/>
  <c r="BR33" i="26"/>
  <c r="GX196" i="26"/>
  <c r="GX202" i="26" s="1"/>
  <c r="EF33" i="26"/>
  <c r="EF52" i="26"/>
  <c r="ER52" i="26" s="1"/>
  <c r="AR161" i="27"/>
  <c r="AR165" i="27" s="1"/>
  <c r="AM161" i="27"/>
  <c r="AM165" i="27" s="1"/>
  <c r="AP161" i="27"/>
  <c r="AP165" i="27" s="1"/>
  <c r="AQ161" i="27"/>
  <c r="AQ165" i="27" s="1"/>
  <c r="AL30" i="27"/>
  <c r="AZ30" i="27" s="1"/>
  <c r="BN30" i="27" s="1"/>
  <c r="AL28" i="27"/>
  <c r="AN30" i="27"/>
  <c r="BB30" i="27" s="1"/>
  <c r="AN28" i="27"/>
  <c r="BA30" i="27"/>
  <c r="AM28" i="27"/>
  <c r="AR28" i="27"/>
  <c r="AQ28" i="27"/>
  <c r="AP30" i="27"/>
  <c r="AR30" i="27"/>
  <c r="AQ30" i="27"/>
  <c r="AP28" i="27"/>
  <c r="BC30" i="27"/>
  <c r="AK28" i="27"/>
  <c r="Q71" i="27"/>
  <c r="CS72" i="27"/>
  <c r="CU25" i="27"/>
  <c r="CU48" i="27" s="1"/>
  <c r="R2" i="27"/>
  <c r="BB44" i="27"/>
  <c r="AN173" i="27"/>
  <c r="BB144" i="27"/>
  <c r="DS11" i="26"/>
  <c r="DO11" i="26"/>
  <c r="DN11" i="26"/>
  <c r="DW11" i="26"/>
  <c r="DV11" i="26"/>
  <c r="DR11" i="26"/>
  <c r="GW86" i="26"/>
  <c r="GW115" i="26"/>
  <c r="GW208" i="26"/>
  <c r="HA115" i="26"/>
  <c r="HA86" i="26"/>
  <c r="HA208" i="26"/>
  <c r="HE86" i="26"/>
  <c r="HE115" i="26"/>
  <c r="HE208" i="26"/>
  <c r="HE92" i="26"/>
  <c r="HA92" i="26"/>
  <c r="GW92" i="26"/>
  <c r="CU84" i="26"/>
  <c r="CU99" i="26" s="1"/>
  <c r="CV84" i="26"/>
  <c r="CV99" i="26" s="1"/>
  <c r="CQ84" i="26"/>
  <c r="CQ99" i="26" s="1"/>
  <c r="CR84" i="26"/>
  <c r="CR99" i="26" s="1"/>
  <c r="CM84" i="26"/>
  <c r="CM99" i="26" s="1"/>
  <c r="CN84" i="26"/>
  <c r="CN99" i="26" s="1"/>
  <c r="BY14" i="27"/>
  <c r="BY15" i="27"/>
  <c r="BY29" i="27"/>
  <c r="CL8" i="27"/>
  <c r="C18" i="45" l="1"/>
  <c r="C78" i="45" s="1"/>
  <c r="C80" i="45" s="1"/>
  <c r="C114" i="45"/>
  <c r="J78" i="45"/>
  <c r="HJ145" i="26"/>
  <c r="C27" i="45"/>
  <c r="HF134" i="26"/>
  <c r="HJ134" i="26" s="1"/>
  <c r="HJ137" i="26" s="1"/>
  <c r="HJ139" i="26" s="1"/>
  <c r="HE126" i="26"/>
  <c r="HJ140" i="26" s="1"/>
  <c r="HJ188" i="26" s="1"/>
  <c r="HJ189" i="26" s="1"/>
  <c r="HJ44" i="26" s="1"/>
  <c r="HJ147" i="26"/>
  <c r="GM19" i="26"/>
  <c r="GF27" i="26"/>
  <c r="FG38" i="26"/>
  <c r="FW24" i="26"/>
  <c r="FG18" i="26"/>
  <c r="FP16" i="26"/>
  <c r="FG27" i="26"/>
  <c r="FR12" i="26"/>
  <c r="E13" i="45" s="1"/>
  <c r="FI12" i="26"/>
  <c r="HG302" i="26"/>
  <c r="HG353" i="26"/>
  <c r="HG324" i="26"/>
  <c r="HH302" i="26"/>
  <c r="HH324" i="26"/>
  <c r="HH353" i="26"/>
  <c r="HD28" i="26"/>
  <c r="HD214" i="26" s="1"/>
  <c r="GZ28" i="26"/>
  <c r="GZ264" i="26" s="1"/>
  <c r="EY12" i="26"/>
  <c r="FH12" i="26" s="1"/>
  <c r="HK59" i="26"/>
  <c r="IC59" i="26" s="1"/>
  <c r="HC28" i="26"/>
  <c r="HC284" i="26" s="1"/>
  <c r="HH54" i="26"/>
  <c r="GY28" i="26"/>
  <c r="HG54" i="26"/>
  <c r="BO30" i="27"/>
  <c r="FW12" i="26"/>
  <c r="J13" i="45" s="1"/>
  <c r="J114" i="45" s="1"/>
  <c r="BH42" i="27"/>
  <c r="BG49" i="27"/>
  <c r="BG45" i="27"/>
  <c r="GW50" i="26"/>
  <c r="BB57" i="27"/>
  <c r="BB78" i="27"/>
  <c r="BP44" i="27"/>
  <c r="BP30" i="27"/>
  <c r="BQ30" i="27"/>
  <c r="BG80" i="27"/>
  <c r="BG81" i="27" s="1"/>
  <c r="BV41" i="27"/>
  <c r="GW41" i="26"/>
  <c r="GW48" i="26" s="1"/>
  <c r="HB41" i="26"/>
  <c r="HK41" i="26" s="1"/>
  <c r="D100" i="45" s="1"/>
  <c r="HC41" i="26"/>
  <c r="HC48" i="26" s="1"/>
  <c r="HD41" i="26"/>
  <c r="HO41" i="26" s="1"/>
  <c r="H100" i="45" s="1"/>
  <c r="GY41" i="26"/>
  <c r="GY48" i="26" s="1"/>
  <c r="HA41" i="26"/>
  <c r="HA48" i="26" s="1"/>
  <c r="GZ41" i="26"/>
  <c r="GZ48" i="26" s="1"/>
  <c r="GX41" i="26"/>
  <c r="GX48" i="26" s="1"/>
  <c r="JB34" i="26"/>
  <c r="EM34" i="26"/>
  <c r="EF83" i="26"/>
  <c r="ER33" i="26"/>
  <c r="EE83" i="26"/>
  <c r="EQ33" i="26"/>
  <c r="EM29" i="26"/>
  <c r="JB29" i="26"/>
  <c r="CV31" i="26"/>
  <c r="DW30" i="26"/>
  <c r="CU31" i="26"/>
  <c r="DV30" i="26"/>
  <c r="CT30" i="26"/>
  <c r="IC12" i="26"/>
  <c r="HK22" i="26"/>
  <c r="IC22" i="26" s="1"/>
  <c r="HH284" i="26"/>
  <c r="HH264" i="26"/>
  <c r="HH276" i="26"/>
  <c r="HH257" i="26"/>
  <c r="HG284" i="26"/>
  <c r="HG264" i="26"/>
  <c r="HG276" i="26"/>
  <c r="HG257" i="26"/>
  <c r="HH191" i="26"/>
  <c r="HH171" i="26"/>
  <c r="HH183" i="26"/>
  <c r="HH164" i="26"/>
  <c r="HG191" i="26"/>
  <c r="HG171" i="26"/>
  <c r="HG164" i="26"/>
  <c r="HG183" i="26"/>
  <c r="HH153" i="26"/>
  <c r="HH246" i="26"/>
  <c r="HG153" i="26"/>
  <c r="HG246" i="26"/>
  <c r="HH121" i="26"/>
  <c r="HH214" i="26"/>
  <c r="HG121" i="26"/>
  <c r="HG214" i="26"/>
  <c r="HJ50" i="26"/>
  <c r="IB76" i="26"/>
  <c r="HM196" i="26"/>
  <c r="HM202" i="26" s="1"/>
  <c r="HO196" i="26"/>
  <c r="HO202" i="26" s="1"/>
  <c r="HA202" i="26"/>
  <c r="HL196" i="26"/>
  <c r="HL202" i="26" s="1"/>
  <c r="HE202" i="26"/>
  <c r="HN196" i="26"/>
  <c r="HN202" i="26" s="1"/>
  <c r="HC202" i="26"/>
  <c r="HK196" i="26"/>
  <c r="HK202" i="26" s="1"/>
  <c r="HK50" i="26" s="1"/>
  <c r="HB202" i="26"/>
  <c r="GZ50" i="26"/>
  <c r="HC50" i="26"/>
  <c r="HA50" i="26"/>
  <c r="HE50" i="26"/>
  <c r="HB50" i="26"/>
  <c r="HD50" i="26"/>
  <c r="GY50" i="26"/>
  <c r="HE33" i="26"/>
  <c r="HL30" i="26"/>
  <c r="HL33" i="26" s="1"/>
  <c r="HF176" i="26"/>
  <c r="HJ173" i="26"/>
  <c r="C73" i="45" s="1"/>
  <c r="HF35" i="26"/>
  <c r="HJ35" i="26" s="1"/>
  <c r="HJ34" i="26"/>
  <c r="C83" i="45" s="1"/>
  <c r="C85" i="45" s="1"/>
  <c r="GX50" i="26"/>
  <c r="AO63" i="27"/>
  <c r="CB28" i="27"/>
  <c r="AO62" i="27"/>
  <c r="CA28" i="27"/>
  <c r="EB34" i="26"/>
  <c r="EB41" i="26" s="1"/>
  <c r="HS50" i="26" s="1"/>
  <c r="EC34" i="26"/>
  <c r="EC41" i="26" s="1"/>
  <c r="HT50" i="26" s="1"/>
  <c r="IB33" i="26"/>
  <c r="IB30" i="26"/>
  <c r="IC58" i="26"/>
  <c r="IF22" i="26"/>
  <c r="IF12" i="26"/>
  <c r="ED83" i="26"/>
  <c r="BC28" i="27"/>
  <c r="BF30" i="27"/>
  <c r="CB30" i="27"/>
  <c r="EC25" i="26"/>
  <c r="EO25" i="26" s="1"/>
  <c r="AO32" i="27"/>
  <c r="HA118" i="26" s="1"/>
  <c r="BH44" i="27"/>
  <c r="AT155" i="27"/>
  <c r="AT86" i="27"/>
  <c r="AT137" i="27" s="1"/>
  <c r="EC83" i="26"/>
  <c r="ED34" i="26"/>
  <c r="ED41" i="26" s="1"/>
  <c r="HU50" i="26" s="1"/>
  <c r="BD30" i="27"/>
  <c r="BR30" i="27" s="1"/>
  <c r="CA30" i="27"/>
  <c r="CH30" i="27" s="1"/>
  <c r="EE34" i="26"/>
  <c r="EE41" i="26" s="1"/>
  <c r="HV50" i="26" s="1"/>
  <c r="EX29" i="26"/>
  <c r="FP29" i="26" s="1"/>
  <c r="AY28" i="27"/>
  <c r="AY63" i="27" s="1"/>
  <c r="IF61" i="26"/>
  <c r="AM63" i="27"/>
  <c r="IG61" i="26"/>
  <c r="IG22" i="26"/>
  <c r="IG59" i="26"/>
  <c r="IF59" i="26"/>
  <c r="EB83" i="26"/>
  <c r="EA83" i="26"/>
  <c r="CT91" i="26"/>
  <c r="AT162" i="27" s="1"/>
  <c r="AT166" i="27" s="1"/>
  <c r="CV91" i="26"/>
  <c r="CU91" i="26"/>
  <c r="AL32" i="27"/>
  <c r="GX118" i="26" s="1"/>
  <c r="AL63" i="27"/>
  <c r="AM32" i="27"/>
  <c r="GY118" i="26" s="1"/>
  <c r="AL62" i="27"/>
  <c r="AN32" i="27"/>
  <c r="GZ118" i="26" s="1"/>
  <c r="AQ62" i="27"/>
  <c r="BE28" i="27"/>
  <c r="EF34" i="26"/>
  <c r="EF41" i="26" s="1"/>
  <c r="HW50" i="26" s="1"/>
  <c r="BA28" i="27"/>
  <c r="BD28" i="27"/>
  <c r="AZ28" i="27"/>
  <c r="BB28" i="27"/>
  <c r="AM62" i="27"/>
  <c r="AQ63" i="27"/>
  <c r="AQ32" i="27"/>
  <c r="HC118" i="26" s="1"/>
  <c r="BE30" i="27"/>
  <c r="AR32" i="27"/>
  <c r="HD118" i="26" s="1"/>
  <c r="AP32" i="27"/>
  <c r="HB118" i="26" s="1"/>
  <c r="BF28" i="27"/>
  <c r="AK62" i="27"/>
  <c r="AK32" i="27"/>
  <c r="GW118" i="26" s="1"/>
  <c r="AK63" i="27"/>
  <c r="R71" i="27"/>
  <c r="CO62" i="27"/>
  <c r="CO63" i="27"/>
  <c r="CG28" i="27"/>
  <c r="BZ62" i="27"/>
  <c r="CG30" i="27"/>
  <c r="BZ63" i="27"/>
  <c r="AP62" i="27"/>
  <c r="AP63" i="27"/>
  <c r="CU28" i="27"/>
  <c r="CN28" i="27"/>
  <c r="BD44" i="27"/>
  <c r="BD144" i="27"/>
  <c r="AP173" i="27"/>
  <c r="CG32" i="27"/>
  <c r="CN30" i="27"/>
  <c r="CU30" i="27"/>
  <c r="S2" i="27"/>
  <c r="HF86" i="26"/>
  <c r="HF115" i="26"/>
  <c r="HF208" i="26"/>
  <c r="GX86" i="26"/>
  <c r="GX115" i="26"/>
  <c r="GX208" i="26"/>
  <c r="HB115" i="26"/>
  <c r="HB86" i="26"/>
  <c r="HB208" i="26"/>
  <c r="HF92" i="26"/>
  <c r="HB92" i="26"/>
  <c r="GX92" i="26"/>
  <c r="CE20" i="26"/>
  <c r="CE21" i="26"/>
  <c r="CE22" i="26"/>
  <c r="CE23" i="26"/>
  <c r="CE25" i="26"/>
  <c r="CE31" i="26"/>
  <c r="CE34" i="26"/>
  <c r="CE35" i="26"/>
  <c r="CE40" i="26"/>
  <c r="CE41" i="26"/>
  <c r="CE43" i="26"/>
  <c r="AW14" i="27"/>
  <c r="BK14" i="27" s="1"/>
  <c r="AW15" i="27"/>
  <c r="BK15" i="27" s="1"/>
  <c r="AW29" i="27"/>
  <c r="BK29" i="27" s="1"/>
  <c r="AW31" i="27"/>
  <c r="BK31" i="27" s="1"/>
  <c r="CL14" i="27"/>
  <c r="CL15" i="27"/>
  <c r="CL29" i="27"/>
  <c r="CL31" i="27"/>
  <c r="B14" i="27"/>
  <c r="B15" i="27"/>
  <c r="B20" i="27"/>
  <c r="B26" i="27"/>
  <c r="B29" i="27"/>
  <c r="B31" i="27"/>
  <c r="B33" i="27"/>
  <c r="C10" i="27"/>
  <c r="C11" i="27" s="1"/>
  <c r="C12" i="27" s="1"/>
  <c r="C13" i="27" s="1"/>
  <c r="C14" i="27" s="1"/>
  <c r="C15" i="27" s="1"/>
  <c r="C16" i="27" s="1"/>
  <c r="C17" i="27" s="1"/>
  <c r="C18" i="27" s="1"/>
  <c r="C19" i="27" s="1"/>
  <c r="C20" i="27" s="1"/>
  <c r="C21" i="27" s="1"/>
  <c r="C22" i="27" s="1"/>
  <c r="C23" i="27" s="1"/>
  <c r="C24" i="27" s="1"/>
  <c r="C25" i="27" s="1"/>
  <c r="C26" i="27" s="1"/>
  <c r="C27" i="27" s="1"/>
  <c r="C28" i="27" s="1"/>
  <c r="C29" i="27" s="1"/>
  <c r="C30" i="27" s="1"/>
  <c r="C31" i="27" s="1"/>
  <c r="C32" i="27" s="1"/>
  <c r="C33" i="27" s="1"/>
  <c r="C34" i="27" s="1"/>
  <c r="C35" i="27" s="1"/>
  <c r="C36" i="27" s="1"/>
  <c r="C37" i="27" s="1"/>
  <c r="C38" i="27" s="1"/>
  <c r="C39" i="27" s="1"/>
  <c r="C40" i="27" s="1"/>
  <c r="C41" i="27" s="1"/>
  <c r="JI11" i="26"/>
  <c r="JG11" i="26"/>
  <c r="JI10" i="26"/>
  <c r="JF13" i="26"/>
  <c r="JF14" i="26"/>
  <c r="JF15" i="26"/>
  <c r="JF16" i="26"/>
  <c r="JF18" i="26"/>
  <c r="JF19" i="26"/>
  <c r="JF20" i="26"/>
  <c r="JF21" i="26"/>
  <c r="JF22" i="26"/>
  <c r="JF23" i="26"/>
  <c r="JF25" i="26"/>
  <c r="JF26" i="26"/>
  <c r="JF27" i="26"/>
  <c r="JF28" i="26"/>
  <c r="JF29" i="26"/>
  <c r="JF30" i="26"/>
  <c r="JF31" i="26"/>
  <c r="JF32" i="26"/>
  <c r="JF33" i="26"/>
  <c r="JF34" i="26"/>
  <c r="JF35" i="26"/>
  <c r="JF36" i="26"/>
  <c r="JF37" i="26"/>
  <c r="JF38" i="26"/>
  <c r="JF40" i="26"/>
  <c r="JF41" i="26"/>
  <c r="JF42" i="26"/>
  <c r="JF44" i="26"/>
  <c r="JF45" i="26"/>
  <c r="JF46" i="26"/>
  <c r="JF47" i="26"/>
  <c r="JF48" i="26"/>
  <c r="JF49" i="26"/>
  <c r="JF50" i="26"/>
  <c r="JF51" i="26"/>
  <c r="JF52" i="26"/>
  <c r="JF53" i="26"/>
  <c r="JF54" i="26"/>
  <c r="JF55" i="26"/>
  <c r="JF56" i="26"/>
  <c r="JF57" i="26"/>
  <c r="JF12" i="26"/>
  <c r="W139" i="1"/>
  <c r="X139" i="1" s="1"/>
  <c r="W137" i="1"/>
  <c r="W141" i="1" s="1"/>
  <c r="X141" i="1" s="1"/>
  <c r="W124" i="1"/>
  <c r="W118" i="1"/>
  <c r="X118" i="1" s="1"/>
  <c r="W111" i="1"/>
  <c r="X111" i="1" s="1"/>
  <c r="X105" i="1"/>
  <c r="X107" i="1"/>
  <c r="X108" i="1"/>
  <c r="X109" i="1"/>
  <c r="X112" i="1"/>
  <c r="X113" i="1"/>
  <c r="X114" i="1"/>
  <c r="X116" i="1"/>
  <c r="X117" i="1"/>
  <c r="X120" i="1"/>
  <c r="X122" i="1"/>
  <c r="X123" i="1"/>
  <c r="X127" i="1"/>
  <c r="X128" i="1"/>
  <c r="X129" i="1"/>
  <c r="X130" i="1"/>
  <c r="X131" i="1"/>
  <c r="X133" i="1"/>
  <c r="X134" i="1"/>
  <c r="X135" i="1"/>
  <c r="X136" i="1"/>
  <c r="X138" i="1"/>
  <c r="X140" i="1"/>
  <c r="X142" i="1"/>
  <c r="X143" i="1"/>
  <c r="X144" i="1"/>
  <c r="X145" i="1"/>
  <c r="X104" i="1"/>
  <c r="W106" i="1"/>
  <c r="W110" i="1" s="1"/>
  <c r="X110" i="1" s="1"/>
  <c r="IZ23" i="26"/>
  <c r="JA23" i="26" s="1"/>
  <c r="M16" i="33"/>
  <c r="F16" i="33"/>
  <c r="N22" i="33" s="1"/>
  <c r="N40" i="33" s="1"/>
  <c r="N52" i="33" s="1"/>
  <c r="G16" i="33"/>
  <c r="O22" i="33" s="1"/>
  <c r="O40" i="33" s="1"/>
  <c r="O52" i="33" s="1"/>
  <c r="E16" i="33"/>
  <c r="M22" i="33" s="1"/>
  <c r="M40" i="33" s="1"/>
  <c r="M52" i="33" s="1"/>
  <c r="U13" i="33"/>
  <c r="V13" i="33"/>
  <c r="V14" i="33"/>
  <c r="W14" i="33"/>
  <c r="U15" i="33"/>
  <c r="V15" i="33"/>
  <c r="W15" i="33"/>
  <c r="U12" i="33"/>
  <c r="IP11" i="26"/>
  <c r="IQ11" i="26"/>
  <c r="IP10" i="26"/>
  <c r="IQ10" i="26"/>
  <c r="IN57" i="26"/>
  <c r="IN56" i="26"/>
  <c r="IN55" i="26"/>
  <c r="IN54" i="26"/>
  <c r="IN53" i="26"/>
  <c r="IN52" i="26"/>
  <c r="IN51" i="26"/>
  <c r="IN50" i="26"/>
  <c r="IN49" i="26"/>
  <c r="IN48" i="26"/>
  <c r="IN47" i="26"/>
  <c r="IN46" i="26"/>
  <c r="IN45" i="26"/>
  <c r="IN44" i="26"/>
  <c r="IN42" i="26"/>
  <c r="IN41" i="26"/>
  <c r="IN40" i="26"/>
  <c r="IN38" i="26"/>
  <c r="IN37" i="26"/>
  <c r="IN36" i="26"/>
  <c r="IN35" i="26"/>
  <c r="IN34" i="26"/>
  <c r="IN33" i="26"/>
  <c r="IN32" i="26"/>
  <c r="IN31" i="26"/>
  <c r="IN30" i="26"/>
  <c r="IN29" i="26"/>
  <c r="IN28" i="26"/>
  <c r="IN27" i="26"/>
  <c r="IN26" i="26"/>
  <c r="IN25" i="26"/>
  <c r="IN23" i="26"/>
  <c r="IN22" i="26"/>
  <c r="IN21" i="26"/>
  <c r="IN20" i="26"/>
  <c r="IN19" i="26"/>
  <c r="IN18" i="26"/>
  <c r="IN16" i="26"/>
  <c r="IN15" i="26"/>
  <c r="IN14" i="26"/>
  <c r="IN13" i="26"/>
  <c r="IN12" i="26"/>
  <c r="CE12" i="26"/>
  <c r="BP58" i="26"/>
  <c r="IU11" i="26"/>
  <c r="IU12" i="26" s="1"/>
  <c r="IU13" i="26" s="1"/>
  <c r="IU14" i="26" s="1"/>
  <c r="IU15" i="26" s="1"/>
  <c r="IU16" i="26" s="1"/>
  <c r="IU17" i="26" s="1"/>
  <c r="IU18" i="26" s="1"/>
  <c r="IU19" i="26" s="1"/>
  <c r="IU20" i="26" s="1"/>
  <c r="IU21" i="26" s="1"/>
  <c r="IU22" i="26" s="1"/>
  <c r="IU23" i="26" s="1"/>
  <c r="IU25" i="26" s="1"/>
  <c r="IU26" i="26" s="1"/>
  <c r="IU27" i="26" s="1"/>
  <c r="IU28" i="26" s="1"/>
  <c r="IU29" i="26" s="1"/>
  <c r="IU30" i="26" s="1"/>
  <c r="IU31" i="26" s="1"/>
  <c r="IU32" i="26" s="1"/>
  <c r="IU33" i="26" s="1"/>
  <c r="IU34" i="26" s="1"/>
  <c r="IU35" i="26" s="1"/>
  <c r="IU36" i="26" s="1"/>
  <c r="IU37" i="26" s="1"/>
  <c r="IU38" i="26" s="1"/>
  <c r="IU39" i="26" s="1"/>
  <c r="IU40" i="26" s="1"/>
  <c r="IU41" i="26" s="1"/>
  <c r="IU42" i="26" s="1"/>
  <c r="IU43" i="26" s="1"/>
  <c r="IU44" i="26" s="1"/>
  <c r="IU45" i="26" s="1"/>
  <c r="IU46" i="26" s="1"/>
  <c r="IU47" i="26" s="1"/>
  <c r="IU48" i="26" s="1"/>
  <c r="IU49" i="26" s="1"/>
  <c r="IU50" i="26" s="1"/>
  <c r="IU51" i="26" s="1"/>
  <c r="IU52" i="26" s="1"/>
  <c r="IU53" i="26" s="1"/>
  <c r="IU54" i="26" s="1"/>
  <c r="IU55" i="26" s="1"/>
  <c r="IU56" i="26" s="1"/>
  <c r="IU57" i="26" s="1"/>
  <c r="J80" i="45" l="1"/>
  <c r="J128" i="45" s="1"/>
  <c r="C128" i="45"/>
  <c r="E18" i="45"/>
  <c r="E78" i="45" s="1"/>
  <c r="L78" i="45" s="1"/>
  <c r="E114" i="45"/>
  <c r="J18" i="45"/>
  <c r="J14" i="45"/>
  <c r="HJ146" i="26"/>
  <c r="HJ141" i="26"/>
  <c r="HJ149" i="26"/>
  <c r="C29" i="45"/>
  <c r="GM24" i="26"/>
  <c r="GF29" i="26"/>
  <c r="HK48" i="26"/>
  <c r="EY28" i="26" s="1"/>
  <c r="FQ27" i="26" s="1"/>
  <c r="GM12" i="26"/>
  <c r="IB34" i="26"/>
  <c r="C17" i="45"/>
  <c r="HJ177" i="26"/>
  <c r="C75" i="45" s="1"/>
  <c r="C123" i="45" s="1"/>
  <c r="HJ176" i="26"/>
  <c r="HJ46" i="26" s="1"/>
  <c r="GH12" i="26"/>
  <c r="C7" i="45"/>
  <c r="X106" i="1"/>
  <c r="X137" i="1"/>
  <c r="FY12" i="26"/>
  <c r="L13" i="45" s="1"/>
  <c r="L114" i="45" s="1"/>
  <c r="HD264" i="26"/>
  <c r="GF16" i="26"/>
  <c r="FP32" i="26"/>
  <c r="HD284" i="26"/>
  <c r="FG28" i="26"/>
  <c r="HC276" i="26"/>
  <c r="HD276" i="26"/>
  <c r="HD246" i="26"/>
  <c r="HD153" i="26"/>
  <c r="HD257" i="26"/>
  <c r="HO161" i="26"/>
  <c r="H23" i="45" s="1"/>
  <c r="HD121" i="26"/>
  <c r="GZ214" i="26"/>
  <c r="GZ246" i="26"/>
  <c r="HD302" i="26"/>
  <c r="HD324" i="26"/>
  <c r="HD353" i="26"/>
  <c r="GZ121" i="26"/>
  <c r="HD183" i="26"/>
  <c r="GZ191" i="26"/>
  <c r="GZ284" i="26"/>
  <c r="HD171" i="26"/>
  <c r="GZ164" i="26"/>
  <c r="GZ257" i="26"/>
  <c r="HD191" i="26"/>
  <c r="GZ183" i="26"/>
  <c r="GZ276" i="26"/>
  <c r="HD164" i="26"/>
  <c r="GZ171" i="26"/>
  <c r="GY302" i="26"/>
  <c r="GY353" i="26"/>
  <c r="GY324" i="26"/>
  <c r="GZ302" i="26"/>
  <c r="GZ353" i="26"/>
  <c r="GZ324" i="26"/>
  <c r="HC302" i="26"/>
  <c r="HC324" i="26"/>
  <c r="HC353" i="26"/>
  <c r="HC214" i="26"/>
  <c r="GZ153" i="26"/>
  <c r="HS53" i="26"/>
  <c r="FQ12" i="26"/>
  <c r="D13" i="45" s="1"/>
  <c r="HC171" i="26"/>
  <c r="BZ30" i="26"/>
  <c r="HC183" i="26"/>
  <c r="GY264" i="26"/>
  <c r="HC153" i="26"/>
  <c r="GY257" i="26"/>
  <c r="GY284" i="26"/>
  <c r="IB50" i="26"/>
  <c r="HR53" i="26"/>
  <c r="HC121" i="26"/>
  <c r="HC264" i="26"/>
  <c r="DV31" i="26"/>
  <c r="HC257" i="26"/>
  <c r="GY171" i="26"/>
  <c r="HK161" i="26"/>
  <c r="D23" i="45" s="1"/>
  <c r="HN161" i="26"/>
  <c r="G23" i="45" s="1"/>
  <c r="HC191" i="26"/>
  <c r="DW31" i="26"/>
  <c r="HC246" i="26"/>
  <c r="HC164" i="26"/>
  <c r="GY276" i="26"/>
  <c r="GY164" i="26"/>
  <c r="GY183" i="26"/>
  <c r="GY214" i="26"/>
  <c r="GY246" i="26"/>
  <c r="GY121" i="26"/>
  <c r="GY153" i="26"/>
  <c r="GY191" i="26"/>
  <c r="ID30" i="26"/>
  <c r="EZ19" i="26"/>
  <c r="HO48" i="26"/>
  <c r="FC28" i="26" s="1"/>
  <c r="FU27" i="26" s="1"/>
  <c r="FC27" i="26"/>
  <c r="FU26" i="26" s="1"/>
  <c r="EY27" i="26"/>
  <c r="FQ26" i="26" s="1"/>
  <c r="AL47" i="27"/>
  <c r="AP47" i="27"/>
  <c r="AN47" i="27"/>
  <c r="BN28" i="27"/>
  <c r="AM47" i="27"/>
  <c r="BR28" i="27"/>
  <c r="AR47" i="27"/>
  <c r="AO47" i="27"/>
  <c r="AQ47" i="27"/>
  <c r="BQ28" i="27"/>
  <c r="BO28" i="27"/>
  <c r="BH57" i="27"/>
  <c r="BH78" i="27"/>
  <c r="BV44" i="27"/>
  <c r="BT28" i="27"/>
  <c r="BU28" i="27"/>
  <c r="BS28" i="27"/>
  <c r="BS30" i="27"/>
  <c r="BT30" i="27"/>
  <c r="BU30" i="27"/>
  <c r="BD57" i="27"/>
  <c r="BD78" i="27"/>
  <c r="BR44" i="27"/>
  <c r="BP28" i="27"/>
  <c r="BV45" i="27"/>
  <c r="BV49" i="27"/>
  <c r="HM41" i="26"/>
  <c r="F100" i="45" s="1"/>
  <c r="HB48" i="26"/>
  <c r="HD48" i="26"/>
  <c r="CI28" i="27"/>
  <c r="CG47" i="27"/>
  <c r="CH28" i="27"/>
  <c r="CH63" i="27" s="1"/>
  <c r="AK47" i="27"/>
  <c r="BC63" i="27"/>
  <c r="AZ62" i="27"/>
  <c r="BA63" i="27"/>
  <c r="EQ34" i="26"/>
  <c r="EQ41" i="26"/>
  <c r="EP34" i="26"/>
  <c r="EO34" i="26"/>
  <c r="EO41" i="26"/>
  <c r="ER34" i="26"/>
  <c r="EN34" i="26"/>
  <c r="EM41" i="26"/>
  <c r="JB41" i="26"/>
  <c r="JA41" i="26" s="1"/>
  <c r="CV35" i="26"/>
  <c r="CU35" i="26"/>
  <c r="CT31" i="26"/>
  <c r="CT40" i="26" s="1"/>
  <c r="DU30" i="26"/>
  <c r="EA30" i="26"/>
  <c r="AT160" i="27"/>
  <c r="AT164" i="27" s="1"/>
  <c r="HC161" i="26"/>
  <c r="HC334" i="26" s="1"/>
  <c r="HC336" i="26" s="1"/>
  <c r="HB161" i="26"/>
  <c r="HH161" i="26"/>
  <c r="HH334" i="26" s="1"/>
  <c r="HH336" i="26" s="1"/>
  <c r="HG161" i="26"/>
  <c r="HG334" i="26" s="1"/>
  <c r="HG336" i="26" s="1"/>
  <c r="HD161" i="26"/>
  <c r="HD334" i="26" s="1"/>
  <c r="HD336" i="26" s="1"/>
  <c r="HF161" i="26"/>
  <c r="HE161" i="26"/>
  <c r="HE334" i="26" s="1"/>
  <c r="HE336" i="26" s="1"/>
  <c r="HA161" i="26"/>
  <c r="HA334" i="26" s="1"/>
  <c r="HA336" i="26" s="1"/>
  <c r="AO64" i="27"/>
  <c r="HL50" i="26"/>
  <c r="ID76" i="26"/>
  <c r="HO50" i="26"/>
  <c r="IG76" i="26"/>
  <c r="HM50" i="26"/>
  <c r="IE76" i="26"/>
  <c r="IC76" i="26"/>
  <c r="HN50" i="26"/>
  <c r="IF76" i="26"/>
  <c r="HE128" i="26"/>
  <c r="HE173" i="26"/>
  <c r="HL173" i="26" s="1"/>
  <c r="E73" i="45" s="1"/>
  <c r="BC62" i="27"/>
  <c r="GW119" i="26"/>
  <c r="GW43" i="26" s="1"/>
  <c r="HE34" i="26"/>
  <c r="CB62" i="27"/>
  <c r="GX166" i="26"/>
  <c r="GX119" i="26"/>
  <c r="GX43" i="26" s="1"/>
  <c r="GZ166" i="26"/>
  <c r="HA166" i="26"/>
  <c r="GY119" i="26"/>
  <c r="GY43" i="26" s="1"/>
  <c r="GY166" i="26"/>
  <c r="CA32" i="27"/>
  <c r="CH32" i="27" s="1"/>
  <c r="HB166" i="26"/>
  <c r="CB32" i="27"/>
  <c r="CI32" i="27" s="1"/>
  <c r="HD166" i="26"/>
  <c r="HO166" i="26" s="1"/>
  <c r="H67" i="45" s="1"/>
  <c r="HC119" i="26"/>
  <c r="HC43" i="26" s="1"/>
  <c r="HC166" i="26"/>
  <c r="EC29" i="26"/>
  <c r="EO29" i="26" s="1"/>
  <c r="CS89" i="26"/>
  <c r="CS30" i="26" s="1"/>
  <c r="CB63" i="27"/>
  <c r="CI30" i="27"/>
  <c r="BC32" i="27"/>
  <c r="BC47" i="27" s="1"/>
  <c r="CA62" i="27"/>
  <c r="CA63" i="27"/>
  <c r="IZ20" i="26"/>
  <c r="JA20" i="26" s="1"/>
  <c r="AY62" i="27"/>
  <c r="CK102" i="26" s="1"/>
  <c r="IF48" i="26"/>
  <c r="AL64" i="27"/>
  <c r="AM64" i="27"/>
  <c r="W115" i="1"/>
  <c r="X115" i="1" s="1"/>
  <c r="GW166" i="26"/>
  <c r="BE62" i="27"/>
  <c r="BA62" i="27"/>
  <c r="AZ63" i="27"/>
  <c r="BB32" i="27"/>
  <c r="BB47" i="27" s="1"/>
  <c r="BA32" i="27"/>
  <c r="BA47" i="27" s="1"/>
  <c r="AZ32" i="27"/>
  <c r="AZ47" i="27" s="1"/>
  <c r="AQ64" i="27"/>
  <c r="BE32" i="27"/>
  <c r="BE47" i="27" s="1"/>
  <c r="BF32" i="27"/>
  <c r="BF47" i="27" s="1"/>
  <c r="BD32" i="27"/>
  <c r="BD47" i="27" s="1"/>
  <c r="BU13" i="26"/>
  <c r="CO13" i="26" s="1"/>
  <c r="BV13" i="26"/>
  <c r="CP13" i="26" s="1"/>
  <c r="BW13" i="26"/>
  <c r="CQ13" i="26" s="1"/>
  <c r="BX13" i="26"/>
  <c r="CR13" i="26" s="1"/>
  <c r="BQ13" i="26"/>
  <c r="CK13" i="26" s="1"/>
  <c r="DL13" i="26" s="1"/>
  <c r="BR13" i="26"/>
  <c r="CL13" i="26" s="1"/>
  <c r="BS13" i="26"/>
  <c r="CM13" i="26" s="1"/>
  <c r="BT13" i="26"/>
  <c r="CN13" i="26" s="1"/>
  <c r="BM16" i="33"/>
  <c r="BN16" i="33"/>
  <c r="BL16" i="33"/>
  <c r="AK64" i="27"/>
  <c r="BE63" i="27"/>
  <c r="AY32" i="27"/>
  <c r="S71" i="27"/>
  <c r="CU63" i="27"/>
  <c r="CO64" i="27"/>
  <c r="CN62" i="27"/>
  <c r="CG63" i="27"/>
  <c r="JG22" i="26"/>
  <c r="JN22" i="26" s="1"/>
  <c r="JH22" i="26"/>
  <c r="BD62" i="27"/>
  <c r="EB89" i="26" s="1"/>
  <c r="ED89" i="26" s="1"/>
  <c r="EP41" i="26" s="1"/>
  <c r="BD63" i="27"/>
  <c r="EB90" i="26" s="1"/>
  <c r="BZ64" i="27"/>
  <c r="CU62" i="27"/>
  <c r="CG62" i="27"/>
  <c r="CN63" i="27"/>
  <c r="V16" i="33"/>
  <c r="U16" i="33"/>
  <c r="W16" i="33"/>
  <c r="AP64" i="27"/>
  <c r="CN32" i="27"/>
  <c r="CN47" i="27" s="1"/>
  <c r="CU32" i="27"/>
  <c r="CU47" i="27" s="1"/>
  <c r="CT30" i="27"/>
  <c r="CT28" i="27"/>
  <c r="BE44" i="27"/>
  <c r="AQ173" i="27"/>
  <c r="BE144" i="27"/>
  <c r="HH115" i="26"/>
  <c r="GZ115" i="26"/>
  <c r="GZ86" i="26"/>
  <c r="GZ208" i="26"/>
  <c r="HC115" i="26"/>
  <c r="HC86" i="26"/>
  <c r="HC208" i="26"/>
  <c r="HG86" i="26"/>
  <c r="HG115" i="26"/>
  <c r="HG208" i="26"/>
  <c r="GY115" i="26"/>
  <c r="GY86" i="26"/>
  <c r="GY208" i="26"/>
  <c r="HG92" i="26"/>
  <c r="HC92" i="26"/>
  <c r="GY92" i="26"/>
  <c r="GZ92" i="26"/>
  <c r="JG23" i="26"/>
  <c r="JN23" i="26" s="1"/>
  <c r="X124" i="1"/>
  <c r="E80" i="45" l="1"/>
  <c r="D18" i="45"/>
  <c r="D78" i="45" s="1"/>
  <c r="K78" i="45" s="1"/>
  <c r="D114" i="45"/>
  <c r="C19" i="45"/>
  <c r="C115" i="45"/>
  <c r="J19" i="45"/>
  <c r="L18" i="45"/>
  <c r="L14" i="45"/>
  <c r="HL143" i="26"/>
  <c r="C12" i="45"/>
  <c r="C9" i="45"/>
  <c r="C31" i="45"/>
  <c r="C32" i="45"/>
  <c r="C126" i="45" s="1"/>
  <c r="HJ150" i="26"/>
  <c r="GK27" i="26"/>
  <c r="GO12" i="26"/>
  <c r="HO334" i="26"/>
  <c r="HO336" i="26" s="1"/>
  <c r="GK26" i="26"/>
  <c r="HN334" i="26"/>
  <c r="HN336" i="26" s="1"/>
  <c r="HL176" i="26"/>
  <c r="HL46" i="26" s="1"/>
  <c r="ID46" i="26" s="1"/>
  <c r="HL177" i="26"/>
  <c r="E75" i="45" s="1"/>
  <c r="E123" i="45" s="1"/>
  <c r="GF32" i="26"/>
  <c r="HK334" i="26"/>
  <c r="HK336" i="26" s="1"/>
  <c r="GG12" i="26"/>
  <c r="GG27" i="26"/>
  <c r="GG26" i="26"/>
  <c r="HB334" i="26"/>
  <c r="HB336" i="26" s="1"/>
  <c r="HM161" i="26"/>
  <c r="F23" i="45" s="1"/>
  <c r="HF334" i="26"/>
  <c r="HF336" i="26" s="1"/>
  <c r="HL161" i="26"/>
  <c r="E23" i="45" s="1"/>
  <c r="FI18" i="26"/>
  <c r="FR16" i="26"/>
  <c r="E7" i="45" s="1"/>
  <c r="FL27" i="26"/>
  <c r="FH26" i="26"/>
  <c r="FL26" i="26"/>
  <c r="FH27" i="26"/>
  <c r="FX12" i="26"/>
  <c r="K13" i="45" s="1"/>
  <c r="K114" i="45" s="1"/>
  <c r="CV72" i="26"/>
  <c r="CV60" i="26"/>
  <c r="CU72" i="26"/>
  <c r="CU60" i="26"/>
  <c r="IE50" i="26"/>
  <c r="HU53" i="26"/>
  <c r="IG50" i="26"/>
  <c r="HW53" i="26"/>
  <c r="ID50" i="26"/>
  <c r="HT53" i="26"/>
  <c r="IF50" i="26"/>
  <c r="HV53" i="26"/>
  <c r="CU42" i="26"/>
  <c r="DV42" i="26" s="1"/>
  <c r="DU40" i="26"/>
  <c r="HF195" i="26"/>
  <c r="IG48" i="26"/>
  <c r="HM48" i="26"/>
  <c r="FA27" i="26"/>
  <c r="CH62" i="27"/>
  <c r="CH64" i="27" s="1"/>
  <c r="BE57" i="27"/>
  <c r="BS44" i="27"/>
  <c r="BE78" i="27"/>
  <c r="BD145" i="27"/>
  <c r="BR32" i="27"/>
  <c r="BR47" i="27" s="1"/>
  <c r="BT32" i="27"/>
  <c r="BT47" i="27" s="1"/>
  <c r="BU32" i="27"/>
  <c r="BU47" i="27" s="1"/>
  <c r="BE145" i="27"/>
  <c r="BS32" i="27"/>
  <c r="BS47" i="27" s="1"/>
  <c r="BN32" i="27"/>
  <c r="BN47" i="27" s="1"/>
  <c r="BO32" i="27"/>
  <c r="BO47" i="27" s="1"/>
  <c r="BQ32" i="27"/>
  <c r="BQ47" i="27" s="1"/>
  <c r="IE41" i="26"/>
  <c r="BP32" i="27"/>
  <c r="BP47" i="27" s="1"/>
  <c r="CI62" i="27"/>
  <c r="CA47" i="27"/>
  <c r="AY145" i="27"/>
  <c r="AY47" i="27"/>
  <c r="CH47" i="27"/>
  <c r="CB47" i="27"/>
  <c r="CI47" i="27"/>
  <c r="CU45" i="26"/>
  <c r="CU61" i="26" s="1"/>
  <c r="DV35" i="26"/>
  <c r="CV45" i="26"/>
  <c r="DW35" i="26"/>
  <c r="EN41" i="26"/>
  <c r="DO13" i="26"/>
  <c r="CN14" i="26"/>
  <c r="DN13" i="26"/>
  <c r="CM14" i="26"/>
  <c r="CL14" i="26"/>
  <c r="DM13" i="26"/>
  <c r="DQ13" i="26"/>
  <c r="CP14" i="26"/>
  <c r="DS13" i="26"/>
  <c r="CR14" i="26"/>
  <c r="DU31" i="26"/>
  <c r="DR13" i="26"/>
  <c r="CQ14" i="26"/>
  <c r="DP13" i="26"/>
  <c r="CO14" i="26"/>
  <c r="CT35" i="26"/>
  <c r="EM30" i="26"/>
  <c r="JB30" i="26"/>
  <c r="HG129" i="26"/>
  <c r="HE134" i="26"/>
  <c r="BC64" i="27"/>
  <c r="HM166" i="26"/>
  <c r="F67" i="45" s="1"/>
  <c r="HK166" i="26"/>
  <c r="D67" i="45" s="1"/>
  <c r="HE35" i="26"/>
  <c r="HL34" i="26"/>
  <c r="HB119" i="26"/>
  <c r="HB43" i="26" s="1"/>
  <c r="HM118" i="26"/>
  <c r="HK118" i="26"/>
  <c r="HE129" i="26"/>
  <c r="HF129" i="26"/>
  <c r="HF135" i="26" s="1"/>
  <c r="HH129" i="26"/>
  <c r="HG178" i="26"/>
  <c r="HG181" i="26" s="1"/>
  <c r="HG46" i="26" s="1"/>
  <c r="HE176" i="26"/>
  <c r="HH178" i="26"/>
  <c r="HH181" i="26" s="1"/>
  <c r="HH46" i="26" s="1"/>
  <c r="HE178" i="26"/>
  <c r="HE181" i="26" s="1"/>
  <c r="HE46" i="26" s="1"/>
  <c r="HF178" i="26"/>
  <c r="HF181" i="26" s="1"/>
  <c r="HF46" i="26" s="1"/>
  <c r="GZ119" i="26"/>
  <c r="HA119" i="26"/>
  <c r="HA43" i="26" s="1"/>
  <c r="CB64" i="27"/>
  <c r="IC48" i="26"/>
  <c r="IC50" i="26"/>
  <c r="IC41" i="26"/>
  <c r="EB91" i="26"/>
  <c r="ED90" i="26"/>
  <c r="BC145" i="27"/>
  <c r="CI63" i="27"/>
  <c r="CA64" i="27"/>
  <c r="EE13" i="26"/>
  <c r="AY64" i="27"/>
  <c r="IF43" i="26"/>
  <c r="BI16" i="33"/>
  <c r="BH16" i="33"/>
  <c r="BJ16" i="33"/>
  <c r="BK16" i="33"/>
  <c r="BG16" i="33"/>
  <c r="BA145" i="27"/>
  <c r="IF41" i="26"/>
  <c r="K91" i="26"/>
  <c r="L91" i="26"/>
  <c r="J91" i="26"/>
  <c r="I91" i="26"/>
  <c r="H91" i="26"/>
  <c r="G91" i="26"/>
  <c r="N91" i="26"/>
  <c r="W119" i="1"/>
  <c r="M91" i="26"/>
  <c r="AZ64" i="27"/>
  <c r="BA64" i="27"/>
  <c r="CT32" i="27"/>
  <c r="CT47" i="27" s="1"/>
  <c r="IG41" i="26"/>
  <c r="BE64" i="27"/>
  <c r="CT93" i="26"/>
  <c r="CV93" i="26"/>
  <c r="CU93" i="26"/>
  <c r="CS91" i="26"/>
  <c r="AZ145" i="27"/>
  <c r="JG21" i="26"/>
  <c r="JN21" i="26" s="1"/>
  <c r="CU64" i="27"/>
  <c r="CN64" i="27"/>
  <c r="CG64" i="27"/>
  <c r="CT62" i="27"/>
  <c r="BD64" i="27"/>
  <c r="CT63" i="27"/>
  <c r="CK14" i="26"/>
  <c r="HH86" i="26"/>
  <c r="BF44" i="27"/>
  <c r="BF144" i="27"/>
  <c r="AR173" i="27"/>
  <c r="HD208" i="26"/>
  <c r="HD92" i="26"/>
  <c r="HD86" i="26"/>
  <c r="HD115" i="26"/>
  <c r="HH208" i="26"/>
  <c r="HH92" i="26"/>
  <c r="L80" i="45" l="1"/>
  <c r="L128" i="45" s="1"/>
  <c r="E128" i="45"/>
  <c r="D80" i="45"/>
  <c r="C14" i="45"/>
  <c r="C112" i="45"/>
  <c r="L19" i="45"/>
  <c r="C63" i="45"/>
  <c r="K18" i="45"/>
  <c r="K14" i="45"/>
  <c r="D88" i="45"/>
  <c r="D89" i="45" s="1"/>
  <c r="D57" i="45"/>
  <c r="D119" i="45" s="1"/>
  <c r="D53" i="45"/>
  <c r="D54" i="45" s="1"/>
  <c r="D121" i="45" s="1"/>
  <c r="F88" i="45"/>
  <c r="F89" i="45" s="1"/>
  <c r="F57" i="45"/>
  <c r="F119" i="45" s="1"/>
  <c r="F53" i="45"/>
  <c r="F54" i="45" s="1"/>
  <c r="F121" i="45" s="1"/>
  <c r="E9" i="45"/>
  <c r="E12" i="45"/>
  <c r="E112" i="45" s="1"/>
  <c r="E27" i="45"/>
  <c r="HL145" i="26"/>
  <c r="E17" i="45"/>
  <c r="E115" i="45" s="1"/>
  <c r="E83" i="45"/>
  <c r="E85" i="45" s="1"/>
  <c r="HL334" i="26"/>
  <c r="HL336" i="26" s="1"/>
  <c r="GN12" i="26"/>
  <c r="HM334" i="26"/>
  <c r="HM336" i="26" s="1"/>
  <c r="GH16" i="26"/>
  <c r="FR32" i="26"/>
  <c r="FJ26" i="26"/>
  <c r="FS26" i="26"/>
  <c r="CV61" i="26"/>
  <c r="CT72" i="26"/>
  <c r="CT60" i="26"/>
  <c r="EQ13" i="26"/>
  <c r="DV38" i="26"/>
  <c r="HH193" i="26"/>
  <c r="HH341" i="26" s="1"/>
  <c r="CV56" i="26"/>
  <c r="CV40" i="26"/>
  <c r="CV37" i="26"/>
  <c r="CV63" i="26" s="1"/>
  <c r="HK119" i="26"/>
  <c r="HK43" i="26" s="1"/>
  <c r="IC43" i="26" s="1"/>
  <c r="CV42" i="26"/>
  <c r="DW42" i="26" s="1"/>
  <c r="HM119" i="26"/>
  <c r="HM43" i="26" s="1"/>
  <c r="IE43" i="26" s="1"/>
  <c r="DU38" i="26"/>
  <c r="CT37" i="26"/>
  <c r="CT63" i="26" s="1"/>
  <c r="CT42" i="26"/>
  <c r="CT66" i="26" s="1"/>
  <c r="DW38" i="26"/>
  <c r="HG193" i="26"/>
  <c r="HG341" i="26" s="1"/>
  <c r="CU56" i="26"/>
  <c r="CU40" i="26"/>
  <c r="CU66" i="26" s="1"/>
  <c r="CU37" i="26"/>
  <c r="CU63" i="26" s="1"/>
  <c r="IE48" i="26"/>
  <c r="FA28" i="26"/>
  <c r="CT45" i="26"/>
  <c r="CT61" i="26" s="1"/>
  <c r="CU53" i="26"/>
  <c r="CU62" i="26" s="1"/>
  <c r="DV45" i="26"/>
  <c r="DW45" i="26"/>
  <c r="BF57" i="27"/>
  <c r="BT44" i="27"/>
  <c r="BF78" i="27"/>
  <c r="CI64" i="27"/>
  <c r="CV53" i="26"/>
  <c r="CV62" i="26" s="1"/>
  <c r="DU35" i="26"/>
  <c r="DM14" i="26"/>
  <c r="CL19" i="26"/>
  <c r="DN14" i="26"/>
  <c r="CM19" i="26"/>
  <c r="DO14" i="26"/>
  <c r="CN19" i="26"/>
  <c r="CO19" i="26"/>
  <c r="DP14" i="26"/>
  <c r="CK19" i="26"/>
  <c r="DL19" i="26" s="1"/>
  <c r="DL14" i="26"/>
  <c r="DR14" i="26"/>
  <c r="CQ19" i="26"/>
  <c r="DS14" i="26"/>
  <c r="CR19" i="26"/>
  <c r="CP19" i="26"/>
  <c r="DQ14" i="26"/>
  <c r="JA30" i="26"/>
  <c r="CS31" i="26"/>
  <c r="DT30" i="26"/>
  <c r="EC30" i="26"/>
  <c r="BY30" i="26"/>
  <c r="HF137" i="26"/>
  <c r="HH135" i="26"/>
  <c r="HH137" i="26" s="1"/>
  <c r="HH139" i="26" s="1"/>
  <c r="HE135" i="26"/>
  <c r="HE137" i="26" s="1"/>
  <c r="HE139" i="26" s="1"/>
  <c r="HG135" i="26"/>
  <c r="HG137" i="26" s="1"/>
  <c r="HG139" i="26" s="1"/>
  <c r="HD119" i="26"/>
  <c r="HD43" i="26" s="1"/>
  <c r="HO118" i="26"/>
  <c r="HL35" i="26"/>
  <c r="ID35" i="26" s="1"/>
  <c r="ID34" i="26"/>
  <c r="HG32" i="26"/>
  <c r="HG195" i="26"/>
  <c r="HH32" i="26"/>
  <c r="HH195" i="26"/>
  <c r="HF32" i="26"/>
  <c r="HJ32" i="26" s="1"/>
  <c r="EX21" i="26" s="1"/>
  <c r="FP19" i="26" s="1"/>
  <c r="IB46" i="26"/>
  <c r="GZ43" i="26"/>
  <c r="ED91" i="26"/>
  <c r="ED13" i="26"/>
  <c r="EA31" i="26"/>
  <c r="EB13" i="26"/>
  <c r="EE14" i="26"/>
  <c r="EQ14" i="26" s="1"/>
  <c r="EF13" i="26"/>
  <c r="X119" i="1"/>
  <c r="W121" i="1"/>
  <c r="HF197" i="26"/>
  <c r="HG197" i="26"/>
  <c r="HH197" i="26"/>
  <c r="CS93" i="26"/>
  <c r="AS162" i="27"/>
  <c r="AS166" i="27" s="1"/>
  <c r="EA82" i="26"/>
  <c r="AS160" i="27"/>
  <c r="AS164" i="27" s="1"/>
  <c r="CT64" i="27"/>
  <c r="JG20" i="26"/>
  <c r="JN20" i="26" s="1"/>
  <c r="CF11" i="26"/>
  <c r="CF12" i="26" s="1"/>
  <c r="CF13" i="26" s="1"/>
  <c r="CF14" i="26" s="1"/>
  <c r="CF15" i="26" s="1"/>
  <c r="CF16" i="26" s="1"/>
  <c r="CF17" i="26" s="1"/>
  <c r="CF18" i="26" s="1"/>
  <c r="CF19" i="26" s="1"/>
  <c r="CF20" i="26" s="1"/>
  <c r="CF21" i="26" s="1"/>
  <c r="CF22" i="26" s="1"/>
  <c r="CF23" i="26" s="1"/>
  <c r="CF25" i="26" s="1"/>
  <c r="CF26" i="26" s="1"/>
  <c r="CF27" i="26" s="1"/>
  <c r="CF28" i="26" s="1"/>
  <c r="CF29" i="26" s="1"/>
  <c r="CF30" i="26" s="1"/>
  <c r="CF31" i="26" s="1"/>
  <c r="CF32" i="26" s="1"/>
  <c r="CF33" i="26" s="1"/>
  <c r="CF34" i="26" s="1"/>
  <c r="CF35" i="26" s="1"/>
  <c r="CF36" i="26" s="1"/>
  <c r="CF37" i="26" s="1"/>
  <c r="CF38" i="26" s="1"/>
  <c r="CF39" i="26" s="1"/>
  <c r="CF40" i="26" s="1"/>
  <c r="CF41" i="26" s="1"/>
  <c r="CF42" i="26" s="1"/>
  <c r="CF43" i="26" s="1"/>
  <c r="CF44" i="26" s="1"/>
  <c r="CF45" i="26" s="1"/>
  <c r="CF46" i="26" s="1"/>
  <c r="CF47" i="26" s="1"/>
  <c r="CF48" i="26" s="1"/>
  <c r="CF49" i="26" s="1"/>
  <c r="CF50" i="26" s="1"/>
  <c r="CF51" i="26" s="1"/>
  <c r="CF52" i="26" s="1"/>
  <c r="CF53" i="26" s="1"/>
  <c r="CF54" i="26" s="1"/>
  <c r="CF55" i="26" s="1"/>
  <c r="CF56" i="26" s="1"/>
  <c r="CF57" i="26" s="1"/>
  <c r="CF58" i="26" s="1"/>
  <c r="DY13" i="26"/>
  <c r="DY14" i="26"/>
  <c r="DY15" i="26"/>
  <c r="DY16" i="26"/>
  <c r="DY18" i="26"/>
  <c r="DY19" i="26"/>
  <c r="DY20" i="26"/>
  <c r="DY21" i="26"/>
  <c r="DY22" i="26"/>
  <c r="DY23" i="26"/>
  <c r="DY25" i="26"/>
  <c r="DY26" i="26"/>
  <c r="DY27" i="26"/>
  <c r="DY28" i="26"/>
  <c r="DY29" i="26"/>
  <c r="DY30" i="26"/>
  <c r="DY82" i="26" s="1"/>
  <c r="DY31" i="26"/>
  <c r="DY32" i="26"/>
  <c r="DY33" i="26"/>
  <c r="DY83" i="26" s="1"/>
  <c r="DY34" i="26"/>
  <c r="DY35" i="26"/>
  <c r="DY36" i="26"/>
  <c r="DY37" i="26"/>
  <c r="DY38" i="26"/>
  <c r="DY40" i="26"/>
  <c r="DY41" i="26"/>
  <c r="DY42" i="26"/>
  <c r="DY44" i="26"/>
  <c r="DY45" i="26"/>
  <c r="DY46" i="26"/>
  <c r="DY47" i="26"/>
  <c r="DY48" i="26"/>
  <c r="DY49" i="26"/>
  <c r="DY50" i="26"/>
  <c r="DY51" i="26"/>
  <c r="DY52" i="26"/>
  <c r="DY53" i="26"/>
  <c r="DY54" i="26"/>
  <c r="DY55" i="26"/>
  <c r="DY56" i="26"/>
  <c r="DY58" i="26"/>
  <c r="DY12" i="26"/>
  <c r="BP13" i="26"/>
  <c r="IJ13" i="26" s="1"/>
  <c r="BP14" i="26"/>
  <c r="IJ14" i="26" s="1"/>
  <c r="BP15" i="26"/>
  <c r="IJ15" i="26" s="1"/>
  <c r="BP16" i="26"/>
  <c r="IJ16" i="26" s="1"/>
  <c r="BP18" i="26"/>
  <c r="IJ18" i="26" s="1"/>
  <c r="BP19" i="26"/>
  <c r="IJ19" i="26" s="1"/>
  <c r="BP20" i="26"/>
  <c r="IJ20" i="26" s="1"/>
  <c r="BP21" i="26"/>
  <c r="IJ21" i="26" s="1"/>
  <c r="BP22" i="26"/>
  <c r="IJ22" i="26" s="1"/>
  <c r="BP23" i="26"/>
  <c r="IJ23" i="26" s="1"/>
  <c r="BP25" i="26"/>
  <c r="IJ25" i="26" s="1"/>
  <c r="BP26" i="26"/>
  <c r="IJ26" i="26" s="1"/>
  <c r="BP27" i="26"/>
  <c r="IJ27" i="26" s="1"/>
  <c r="BP28" i="26"/>
  <c r="IJ28" i="26" s="1"/>
  <c r="BP29" i="26"/>
  <c r="IJ29" i="26" s="1"/>
  <c r="BP30" i="26"/>
  <c r="IJ30" i="26" s="1"/>
  <c r="BP31" i="26"/>
  <c r="IJ31" i="26" s="1"/>
  <c r="BP32" i="26"/>
  <c r="IJ32" i="26" s="1"/>
  <c r="BP33" i="26"/>
  <c r="IJ33" i="26" s="1"/>
  <c r="BP34" i="26"/>
  <c r="IJ34" i="26" s="1"/>
  <c r="BP35" i="26"/>
  <c r="IJ35" i="26" s="1"/>
  <c r="BP36" i="26"/>
  <c r="IJ36" i="26" s="1"/>
  <c r="BP37" i="26"/>
  <c r="IJ37" i="26" s="1"/>
  <c r="BP38" i="26"/>
  <c r="IJ38" i="26" s="1"/>
  <c r="BP40" i="26"/>
  <c r="IJ40" i="26" s="1"/>
  <c r="BP41" i="26"/>
  <c r="IJ41" i="26" s="1"/>
  <c r="BP42" i="26"/>
  <c r="IJ42" i="26" s="1"/>
  <c r="BP44" i="26"/>
  <c r="IJ44" i="26" s="1"/>
  <c r="IJ45" i="26"/>
  <c r="BP46" i="26"/>
  <c r="IJ46" i="26" s="1"/>
  <c r="BP47" i="26"/>
  <c r="IJ47" i="26" s="1"/>
  <c r="BP48" i="26"/>
  <c r="IJ48" i="26" s="1"/>
  <c r="BP49" i="26"/>
  <c r="BP50" i="26"/>
  <c r="BP51" i="26"/>
  <c r="BP52" i="26"/>
  <c r="BP53" i="26"/>
  <c r="BP54" i="26"/>
  <c r="BP55" i="26"/>
  <c r="IJ49" i="26" s="1"/>
  <c r="BP56" i="26"/>
  <c r="IJ50" i="26" s="1"/>
  <c r="BP57" i="26"/>
  <c r="AV57" i="26" s="1"/>
  <c r="BP12" i="26"/>
  <c r="IJ12" i="26" s="1"/>
  <c r="T52" i="1"/>
  <c r="T53" i="1" s="1"/>
  <c r="T54" i="1" s="1"/>
  <c r="T55" i="1" s="1"/>
  <c r="T56" i="1" s="1"/>
  <c r="T57" i="1" s="1"/>
  <c r="T58" i="1" s="1"/>
  <c r="T59" i="1" s="1"/>
  <c r="T60" i="1" s="1"/>
  <c r="T61" i="1" s="1"/>
  <c r="T62" i="1" s="1"/>
  <c r="T63" i="1" s="1"/>
  <c r="T64" i="1" s="1"/>
  <c r="T65" i="1" s="1"/>
  <c r="T66" i="1" s="1"/>
  <c r="T67" i="1" s="1"/>
  <c r="T68" i="1" s="1"/>
  <c r="T69" i="1" s="1"/>
  <c r="T70" i="1" s="1"/>
  <c r="T71" i="1" s="1"/>
  <c r="T72" i="1" s="1"/>
  <c r="T73" i="1" s="1"/>
  <c r="T74" i="1" s="1"/>
  <c r="T75" i="1" s="1"/>
  <c r="T76" i="1" s="1"/>
  <c r="T77" i="1" s="1"/>
  <c r="T78" i="1" s="1"/>
  <c r="T79" i="1" s="1"/>
  <c r="T80" i="1" s="1"/>
  <c r="T81" i="1" s="1"/>
  <c r="T82" i="1" s="1"/>
  <c r="T83" i="1" s="1"/>
  <c r="T84" i="1" s="1"/>
  <c r="T85" i="1" s="1"/>
  <c r="T86" i="1" s="1"/>
  <c r="T87" i="1" s="1"/>
  <c r="T88" i="1" s="1"/>
  <c r="T89" i="1" s="1"/>
  <c r="T90" i="1" s="1"/>
  <c r="T91" i="1" s="1"/>
  <c r="T92" i="1" s="1"/>
  <c r="T93" i="1" s="1"/>
  <c r="T94" i="1" s="1"/>
  <c r="T95" i="1" s="1"/>
  <c r="T96" i="1" s="1"/>
  <c r="L39" i="28"/>
  <c r="A65" i="28"/>
  <c r="L41" i="28"/>
  <c r="L40" i="28"/>
  <c r="L37" i="28"/>
  <c r="L36" i="28"/>
  <c r="L35" i="28"/>
  <c r="L33" i="28"/>
  <c r="L32" i="28"/>
  <c r="L31" i="28"/>
  <c r="L34" i="28"/>
  <c r="L29" i="28"/>
  <c r="L30" i="28"/>
  <c r="L27" i="28"/>
  <c r="L26" i="28"/>
  <c r="L25" i="28"/>
  <c r="L22" i="28"/>
  <c r="G44" i="28"/>
  <c r="F44" i="28"/>
  <c r="L42" i="28"/>
  <c r="L24" i="28"/>
  <c r="L23" i="28"/>
  <c r="E21" i="28"/>
  <c r="E44" i="28" s="1"/>
  <c r="D21" i="28"/>
  <c r="D44" i="28" s="1"/>
  <c r="C21" i="28"/>
  <c r="C44" i="28" s="1"/>
  <c r="B21" i="28"/>
  <c r="B44" i="28" s="1"/>
  <c r="E20" i="28"/>
  <c r="E43" i="28" s="1"/>
  <c r="D20" i="28"/>
  <c r="D43" i="28" s="1"/>
  <c r="C20" i="28"/>
  <c r="C43" i="28" s="1"/>
  <c r="B20" i="28"/>
  <c r="B43" i="28" s="1"/>
  <c r="AW41" i="27"/>
  <c r="BK41" i="27" s="1"/>
  <c r="AW40" i="27"/>
  <c r="BK40" i="27" s="1"/>
  <c r="AW39" i="27"/>
  <c r="BK39" i="27" s="1"/>
  <c r="AW38" i="27"/>
  <c r="BK38" i="27" s="1"/>
  <c r="AW37" i="27"/>
  <c r="BK37" i="27" s="1"/>
  <c r="AW36" i="27"/>
  <c r="BK36" i="27" s="1"/>
  <c r="AW35" i="27"/>
  <c r="BK35" i="27" s="1"/>
  <c r="AW34" i="27"/>
  <c r="BK34" i="27" s="1"/>
  <c r="AW32" i="27"/>
  <c r="BK32" i="27" s="1"/>
  <c r="AW30" i="27"/>
  <c r="BK30" i="27" s="1"/>
  <c r="AW28" i="27"/>
  <c r="BK28" i="27" s="1"/>
  <c r="AW27" i="27"/>
  <c r="BK27" i="27" s="1"/>
  <c r="AW25" i="27"/>
  <c r="BK25" i="27" s="1"/>
  <c r="AW24" i="27"/>
  <c r="BK24" i="27" s="1"/>
  <c r="AW23" i="27"/>
  <c r="BK23" i="27" s="1"/>
  <c r="AW22" i="27"/>
  <c r="BK22" i="27" s="1"/>
  <c r="AW21" i="27"/>
  <c r="BK21" i="27" s="1"/>
  <c r="AW18" i="27"/>
  <c r="BK18" i="27" s="1"/>
  <c r="AW17" i="27"/>
  <c r="BK17" i="27" s="1"/>
  <c r="AW16" i="27"/>
  <c r="BK16" i="27" s="1"/>
  <c r="AW13" i="27"/>
  <c r="BK13" i="27" s="1"/>
  <c r="AW12" i="27"/>
  <c r="BK12" i="27" s="1"/>
  <c r="AW11" i="27"/>
  <c r="BK11" i="27" s="1"/>
  <c r="AW10" i="27"/>
  <c r="CE53" i="26"/>
  <c r="CE52" i="26"/>
  <c r="CE51" i="26"/>
  <c r="CE50" i="26"/>
  <c r="CE49" i="26"/>
  <c r="CE48" i="26"/>
  <c r="CE47" i="26"/>
  <c r="CE46" i="26"/>
  <c r="CE45" i="26"/>
  <c r="CE44" i="26"/>
  <c r="CE42" i="26"/>
  <c r="CE39" i="26"/>
  <c r="CE38" i="26"/>
  <c r="CE37" i="26"/>
  <c r="CE36" i="26"/>
  <c r="CE33" i="26"/>
  <c r="CE32" i="26"/>
  <c r="CE30" i="26"/>
  <c r="CE29" i="26"/>
  <c r="CE28" i="26"/>
  <c r="CE27" i="26"/>
  <c r="CE26" i="26"/>
  <c r="CE19" i="26"/>
  <c r="CE18" i="26"/>
  <c r="CE17" i="26"/>
  <c r="CE16" i="26"/>
  <c r="CE15" i="26"/>
  <c r="CE14" i="26"/>
  <c r="CE13" i="26"/>
  <c r="CI11" i="26"/>
  <c r="IT11" i="26" s="1"/>
  <c r="K80" i="1"/>
  <c r="E98" i="1"/>
  <c r="F98" i="1"/>
  <c r="K67" i="1"/>
  <c r="J67" i="1"/>
  <c r="L42" i="5"/>
  <c r="H102" i="16" s="1"/>
  <c r="K80" i="45" l="1"/>
  <c r="K128" i="45" s="1"/>
  <c r="D128" i="45"/>
  <c r="E19" i="45"/>
  <c r="E14" i="45"/>
  <c r="K19" i="45"/>
  <c r="H88" i="45"/>
  <c r="H89" i="45" s="1"/>
  <c r="H53" i="45"/>
  <c r="H54" i="45" s="1"/>
  <c r="H121" i="45" s="1"/>
  <c r="H57" i="45"/>
  <c r="H119" i="45" s="1"/>
  <c r="GI26" i="26"/>
  <c r="GH32" i="26"/>
  <c r="F91" i="45"/>
  <c r="F127" i="45" s="1"/>
  <c r="GF19" i="26"/>
  <c r="HF139" i="26"/>
  <c r="HL139" i="26" s="1"/>
  <c r="HL146" i="26" s="1"/>
  <c r="HL137" i="26"/>
  <c r="D91" i="45"/>
  <c r="D127" i="45" s="1"/>
  <c r="FJ27" i="26"/>
  <c r="FS27" i="26"/>
  <c r="FG20" i="26"/>
  <c r="CU65" i="26"/>
  <c r="HH201" i="26"/>
  <c r="HH203" i="26"/>
  <c r="EP13" i="26"/>
  <c r="EN13" i="26"/>
  <c r="CV66" i="26"/>
  <c r="ER13" i="26"/>
  <c r="CV65" i="26"/>
  <c r="EO30" i="26"/>
  <c r="DW37" i="26"/>
  <c r="CV71" i="26"/>
  <c r="CV73" i="26" s="1"/>
  <c r="DV37" i="26"/>
  <c r="CU71" i="26"/>
  <c r="CU73" i="26" s="1"/>
  <c r="DU37" i="26"/>
  <c r="CT71" i="26"/>
  <c r="CT73" i="26" s="1"/>
  <c r="HG203" i="26"/>
  <c r="HG201" i="26"/>
  <c r="DU42" i="26"/>
  <c r="CV55" i="26"/>
  <c r="HO119" i="26"/>
  <c r="HO43" i="26" s="1"/>
  <c r="IG43" i="26" s="1"/>
  <c r="DW40" i="26"/>
  <c r="EA40" i="26"/>
  <c r="EA72" i="26"/>
  <c r="DV40" i="26"/>
  <c r="DT31" i="26"/>
  <c r="CS40" i="26"/>
  <c r="CU55" i="26"/>
  <c r="DU45" i="26"/>
  <c r="CT53" i="26"/>
  <c r="CT62" i="26" s="1"/>
  <c r="DV53" i="26"/>
  <c r="DV56" i="26"/>
  <c r="DW53" i="26"/>
  <c r="DW56" i="26"/>
  <c r="DO19" i="26"/>
  <c r="CN25" i="26"/>
  <c r="CK25" i="26"/>
  <c r="DL25" i="26" s="1"/>
  <c r="DQ19" i="26"/>
  <c r="CP25" i="26"/>
  <c r="DS19" i="26"/>
  <c r="CR25" i="26"/>
  <c r="DM19" i="26"/>
  <c r="CL25" i="26"/>
  <c r="DR19" i="26"/>
  <c r="CQ25" i="26"/>
  <c r="DP19" i="26"/>
  <c r="CO25" i="26"/>
  <c r="DN19" i="26"/>
  <c r="CM25" i="26"/>
  <c r="JB31" i="26"/>
  <c r="CS35" i="26"/>
  <c r="EC82" i="26"/>
  <c r="EM31" i="26"/>
  <c r="HJ197" i="26"/>
  <c r="HJ195" i="26"/>
  <c r="HH51" i="26"/>
  <c r="HG51" i="26"/>
  <c r="HH49" i="26"/>
  <c r="HG49" i="26"/>
  <c r="HE32" i="26"/>
  <c r="HL32" i="26" s="1"/>
  <c r="EZ21" i="26" s="1"/>
  <c r="HE195" i="26"/>
  <c r="HH155" i="26"/>
  <c r="HH328" i="26" s="1"/>
  <c r="HG155" i="26"/>
  <c r="HG328" i="26" s="1"/>
  <c r="HF155" i="26"/>
  <c r="HF328" i="26" s="1"/>
  <c r="HH31" i="26"/>
  <c r="HG31" i="26"/>
  <c r="HF31" i="26"/>
  <c r="HJ31" i="26" s="1"/>
  <c r="EX20" i="26" s="1"/>
  <c r="FP18" i="26" s="1"/>
  <c r="EC31" i="26"/>
  <c r="EC40" i="26" s="1"/>
  <c r="IC13" i="26"/>
  <c r="ED14" i="26"/>
  <c r="EP14" i="26" s="1"/>
  <c r="EF14" i="26"/>
  <c r="ER14" i="26" s="1"/>
  <c r="EA35" i="26"/>
  <c r="EE19" i="26"/>
  <c r="EQ19" i="26" s="1"/>
  <c r="EB14" i="26"/>
  <c r="EN14" i="26" s="1"/>
  <c r="X121" i="1"/>
  <c r="W125" i="1"/>
  <c r="X125" i="1" s="1"/>
  <c r="IJ51" i="26"/>
  <c r="D57" i="26"/>
  <c r="CG36" i="27"/>
  <c r="CE54" i="26"/>
  <c r="E52" i="27"/>
  <c r="CE56" i="26"/>
  <c r="E54" i="27"/>
  <c r="CE55" i="26"/>
  <c r="E53" i="27"/>
  <c r="CG37" i="27"/>
  <c r="CN36" i="27"/>
  <c r="CU36" i="27"/>
  <c r="CN12" i="27"/>
  <c r="CN48" i="27" s="1"/>
  <c r="CS12" i="27"/>
  <c r="CS48" i="27" s="1"/>
  <c r="AW19" i="27"/>
  <c r="BK19" i="27" s="1"/>
  <c r="JG46" i="26"/>
  <c r="JN46" i="26" s="1"/>
  <c r="JG56" i="26"/>
  <c r="JN56" i="26" s="1"/>
  <c r="JG45" i="26"/>
  <c r="JG55" i="26"/>
  <c r="JG33" i="26"/>
  <c r="JN33" i="26" s="1"/>
  <c r="JN37" i="26"/>
  <c r="JG41" i="26"/>
  <c r="JN41" i="26" s="1"/>
  <c r="AH37" i="27"/>
  <c r="AH39" i="27"/>
  <c r="BY39" i="27" s="1"/>
  <c r="AH17" i="27"/>
  <c r="BY17" i="27" s="1"/>
  <c r="AH25" i="27"/>
  <c r="AH13" i="27"/>
  <c r="AH23" i="27"/>
  <c r="AH38" i="27"/>
  <c r="AH27" i="27"/>
  <c r="AH32" i="27"/>
  <c r="GU118" i="26" s="1"/>
  <c r="AH36" i="27"/>
  <c r="AH11" i="27"/>
  <c r="BY11" i="27" s="1"/>
  <c r="AH16" i="27"/>
  <c r="AH28" i="27"/>
  <c r="AH41" i="27"/>
  <c r="AH22" i="27"/>
  <c r="AH12" i="27"/>
  <c r="AH30" i="27"/>
  <c r="AH40" i="27"/>
  <c r="AH21" i="27"/>
  <c r="AH18" i="27"/>
  <c r="AH24" i="27"/>
  <c r="AH19" i="27"/>
  <c r="B19" i="27" s="1"/>
  <c r="AH34" i="27"/>
  <c r="JN12" i="26"/>
  <c r="M63" i="1"/>
  <c r="M62" i="1"/>
  <c r="M61" i="1"/>
  <c r="M59" i="1"/>
  <c r="M57" i="1"/>
  <c r="M55" i="1"/>
  <c r="M54" i="1"/>
  <c r="J60" i="2"/>
  <c r="J58" i="2"/>
  <c r="J45" i="2"/>
  <c r="J44" i="2"/>
  <c r="GI27" i="26" l="1"/>
  <c r="H91" i="45"/>
  <c r="H127" i="45" s="1"/>
  <c r="GF18" i="26"/>
  <c r="HH345" i="26"/>
  <c r="HG345" i="26"/>
  <c r="HF345" i="26"/>
  <c r="FI20" i="26"/>
  <c r="FR19" i="26"/>
  <c r="FG19" i="26"/>
  <c r="HF327" i="26"/>
  <c r="HF344" i="26" s="1"/>
  <c r="HJ328" i="26"/>
  <c r="HG327" i="26"/>
  <c r="HG344" i="26" s="1"/>
  <c r="HH327" i="26"/>
  <c r="HH344" i="26" s="1"/>
  <c r="CS72" i="26"/>
  <c r="CS60" i="26"/>
  <c r="HT49" i="26"/>
  <c r="CV57" i="26"/>
  <c r="DW57" i="26" s="1"/>
  <c r="CV64" i="26"/>
  <c r="DT40" i="26"/>
  <c r="CT65" i="26"/>
  <c r="EA60" i="26"/>
  <c r="CU57" i="26"/>
  <c r="DV57" i="26" s="1"/>
  <c r="CU64" i="26"/>
  <c r="EM40" i="26"/>
  <c r="HR49" i="26"/>
  <c r="HJ155" i="26"/>
  <c r="HJ158" i="26" s="1"/>
  <c r="HJ160" i="26" s="1"/>
  <c r="HJ162" i="26" s="1"/>
  <c r="CT55" i="26"/>
  <c r="DT35" i="26"/>
  <c r="CS37" i="26"/>
  <c r="CS42" i="26"/>
  <c r="CS66" i="26" s="1"/>
  <c r="JB35" i="26"/>
  <c r="JB60" i="26" s="1"/>
  <c r="EA37" i="26"/>
  <c r="EA63" i="26" s="1"/>
  <c r="EA42" i="26"/>
  <c r="HR51" i="26" s="1"/>
  <c r="DU56" i="26"/>
  <c r="DU53" i="26"/>
  <c r="DV55" i="26"/>
  <c r="DW55" i="26"/>
  <c r="GW33" i="26"/>
  <c r="EO38" i="26"/>
  <c r="CQ29" i="26"/>
  <c r="DR29" i="26" s="1"/>
  <c r="DR25" i="26"/>
  <c r="DS25" i="26"/>
  <c r="CR29" i="26"/>
  <c r="HD30" i="26"/>
  <c r="HD33" i="26" s="1"/>
  <c r="HB30" i="26"/>
  <c r="DQ25" i="26"/>
  <c r="CP29" i="26"/>
  <c r="DQ29" i="26" s="1"/>
  <c r="HE197" i="26"/>
  <c r="HL197" i="26" s="1"/>
  <c r="HC30" i="26"/>
  <c r="DN25" i="26"/>
  <c r="CM29" i="26"/>
  <c r="GY30" i="26"/>
  <c r="GY33" i="26" s="1"/>
  <c r="DM25" i="26"/>
  <c r="CL29" i="26"/>
  <c r="GX30" i="26"/>
  <c r="GX33" i="26" s="1"/>
  <c r="CN29" i="26"/>
  <c r="DO25" i="26"/>
  <c r="GZ30" i="26"/>
  <c r="GZ33" i="26" s="1"/>
  <c r="CO29" i="26"/>
  <c r="DP29" i="26" s="1"/>
  <c r="DP25" i="26"/>
  <c r="CS45" i="26"/>
  <c r="CS61" i="26" s="1"/>
  <c r="JB40" i="26"/>
  <c r="JN55" i="26"/>
  <c r="JN45" i="26"/>
  <c r="EO31" i="26"/>
  <c r="EO40" i="26"/>
  <c r="EM35" i="26"/>
  <c r="EA45" i="26"/>
  <c r="HL195" i="26"/>
  <c r="ID33" i="26"/>
  <c r="ID32" i="26"/>
  <c r="HE155" i="26"/>
  <c r="HE31" i="26"/>
  <c r="HL31" i="26" s="1"/>
  <c r="IF13" i="26"/>
  <c r="IG13" i="26"/>
  <c r="EC35" i="26"/>
  <c r="ED19" i="26"/>
  <c r="EP19" i="26" s="1"/>
  <c r="HA30" i="26"/>
  <c r="EB19" i="26"/>
  <c r="EN19" i="26" s="1"/>
  <c r="EE25" i="26"/>
  <c r="EQ25" i="26" s="1"/>
  <c r="EF19" i="26"/>
  <c r="ER19" i="26" s="1"/>
  <c r="CT12" i="27"/>
  <c r="CT48" i="27" s="1"/>
  <c r="CT36" i="27"/>
  <c r="CL16" i="27"/>
  <c r="CK29" i="26"/>
  <c r="CG41" i="27"/>
  <c r="CN37" i="27"/>
  <c r="CT37" i="27" s="1"/>
  <c r="CU37" i="27"/>
  <c r="CG9" i="27"/>
  <c r="JG13" i="26"/>
  <c r="JN42" i="26"/>
  <c r="JG40" i="26"/>
  <c r="JN40" i="26" s="1"/>
  <c r="JG30" i="26"/>
  <c r="JN30" i="26" s="1"/>
  <c r="L60" i="27"/>
  <c r="L68" i="27" s="1"/>
  <c r="JI16" i="26"/>
  <c r="BY16" i="27"/>
  <c r="CL34" i="27"/>
  <c r="BY34" i="27"/>
  <c r="CL19" i="27"/>
  <c r="BY19" i="27"/>
  <c r="CL36" i="27"/>
  <c r="BY36" i="27"/>
  <c r="CL37" i="27"/>
  <c r="BY37" i="27"/>
  <c r="CL24" i="27"/>
  <c r="BY24" i="27"/>
  <c r="CL32" i="27"/>
  <c r="BY32" i="27"/>
  <c r="CL18" i="27"/>
  <c r="BY18" i="27"/>
  <c r="CL27" i="27"/>
  <c r="BY27" i="27"/>
  <c r="CL21" i="27"/>
  <c r="BY21" i="27"/>
  <c r="CL38" i="27"/>
  <c r="BY38" i="27"/>
  <c r="CL40" i="27"/>
  <c r="BY40" i="27"/>
  <c r="CL23" i="27"/>
  <c r="BY23" i="27"/>
  <c r="CL30" i="27"/>
  <c r="BY30" i="27"/>
  <c r="CL13" i="27"/>
  <c r="BY13" i="27"/>
  <c r="CL12" i="27"/>
  <c r="BY12" i="27"/>
  <c r="BY35" i="27"/>
  <c r="CL22" i="27"/>
  <c r="BY22" i="27"/>
  <c r="CL25" i="27"/>
  <c r="BY25" i="27"/>
  <c r="CL41" i="27"/>
  <c r="BY41" i="27"/>
  <c r="CL28" i="27"/>
  <c r="BY28" i="27"/>
  <c r="JG32" i="26"/>
  <c r="JN32" i="26" s="1"/>
  <c r="JI21" i="26"/>
  <c r="JP21" i="26" s="1"/>
  <c r="JG18" i="26"/>
  <c r="JN18" i="26" s="1"/>
  <c r="JG26" i="26"/>
  <c r="JN26" i="26" s="1"/>
  <c r="JG27" i="26"/>
  <c r="JG47" i="26"/>
  <c r="JN47" i="26" s="1"/>
  <c r="JG15" i="26"/>
  <c r="JN15" i="26" s="1"/>
  <c r="JG48" i="26"/>
  <c r="JN48" i="26" s="1"/>
  <c r="JI23" i="26"/>
  <c r="JP23" i="26" s="1"/>
  <c r="JG16" i="26"/>
  <c r="JN16" i="26" s="1"/>
  <c r="JG50" i="26"/>
  <c r="JN50" i="26" s="1"/>
  <c r="JN38" i="26"/>
  <c r="JI22" i="26"/>
  <c r="JP22" i="26" s="1"/>
  <c r="B37" i="27"/>
  <c r="B17" i="27"/>
  <c r="CL17" i="27"/>
  <c r="B11" i="27"/>
  <c r="CL11" i="27"/>
  <c r="B39" i="27"/>
  <c r="CL39" i="27"/>
  <c r="B24" i="27"/>
  <c r="B21" i="27"/>
  <c r="B16" i="27"/>
  <c r="B35" i="27"/>
  <c r="B25" i="27"/>
  <c r="B34" i="27"/>
  <c r="B41" i="27"/>
  <c r="B36" i="27"/>
  <c r="B28" i="27"/>
  <c r="B38" i="27"/>
  <c r="B22" i="27"/>
  <c r="B12" i="27"/>
  <c r="B32" i="27"/>
  <c r="B23" i="27"/>
  <c r="B27" i="27"/>
  <c r="B13" i="27"/>
  <c r="B18" i="27"/>
  <c r="B40" i="27"/>
  <c r="B30" i="27"/>
  <c r="IZ28" i="26"/>
  <c r="JA28" i="26" s="1"/>
  <c r="IZ14" i="26"/>
  <c r="JA14" i="26" s="1"/>
  <c r="IZ34" i="26"/>
  <c r="JA34" i="26" s="1"/>
  <c r="J105" i="2"/>
  <c r="J69" i="2" s="1"/>
  <c r="J104" i="2"/>
  <c r="J68" i="2" s="1"/>
  <c r="J103" i="2"/>
  <c r="J67" i="2" s="1"/>
  <c r="J102" i="2"/>
  <c r="J66" i="2" s="1"/>
  <c r="J101" i="2"/>
  <c r="J65" i="2" s="1"/>
  <c r="J100" i="2"/>
  <c r="J63" i="2" s="1"/>
  <c r="J99" i="2"/>
  <c r="J98" i="2"/>
  <c r="J62" i="2" s="1"/>
  <c r="L30" i="5"/>
  <c r="J74" i="16"/>
  <c r="I74" i="16"/>
  <c r="F73" i="1"/>
  <c r="F74" i="1" s="1"/>
  <c r="C72" i="1"/>
  <c r="H65" i="16"/>
  <c r="H64" i="16"/>
  <c r="L34" i="5"/>
  <c r="L24" i="5"/>
  <c r="L23" i="5"/>
  <c r="L35" i="5"/>
  <c r="L33" i="5"/>
  <c r="L32" i="5"/>
  <c r="L31" i="5"/>
  <c r="L22" i="5"/>
  <c r="L27" i="5"/>
  <c r="J69" i="1"/>
  <c r="HJ37" i="26" l="1"/>
  <c r="C24" i="45"/>
  <c r="GH19" i="26"/>
  <c r="HH349" i="26"/>
  <c r="HJ332" i="26"/>
  <c r="HJ345" i="26"/>
  <c r="HF349" i="26"/>
  <c r="HG349" i="26"/>
  <c r="HG347" i="26"/>
  <c r="HF347" i="26"/>
  <c r="HH347" i="26"/>
  <c r="EA66" i="26"/>
  <c r="HG156" i="26"/>
  <c r="HG158" i="26" s="1"/>
  <c r="HG160" i="26" s="1"/>
  <c r="HG332" i="26" s="1"/>
  <c r="HE328" i="26"/>
  <c r="HJ327" i="26"/>
  <c r="HJ344" i="26" s="1"/>
  <c r="EM60" i="26"/>
  <c r="EC60" i="26"/>
  <c r="JB45" i="26"/>
  <c r="JA45" i="26" s="1"/>
  <c r="CS71" i="26"/>
  <c r="CS73" i="26" s="1"/>
  <c r="CS63" i="26"/>
  <c r="EA61" i="26"/>
  <c r="DU55" i="26"/>
  <c r="CT64" i="26"/>
  <c r="DT42" i="26"/>
  <c r="EC42" i="26"/>
  <c r="EC66" i="26" s="1"/>
  <c r="EC37" i="26"/>
  <c r="CT57" i="26"/>
  <c r="DU57" i="26" s="1"/>
  <c r="ID31" i="26"/>
  <c r="EZ20" i="26"/>
  <c r="DT37" i="26"/>
  <c r="DT38" i="26"/>
  <c r="CS53" i="26"/>
  <c r="CS65" i="26" s="1"/>
  <c r="DT45" i="26"/>
  <c r="CG49" i="27"/>
  <c r="CG45" i="27"/>
  <c r="HN30" i="26"/>
  <c r="HC33" i="26"/>
  <c r="DS29" i="26"/>
  <c r="HD34" i="26"/>
  <c r="HD35" i="26" s="1"/>
  <c r="CR89" i="26"/>
  <c r="CR30" i="26" s="1"/>
  <c r="HD128" i="26"/>
  <c r="HD134" i="26" s="1"/>
  <c r="HD173" i="26"/>
  <c r="HD176" i="26" s="1"/>
  <c r="DO29" i="26"/>
  <c r="CN89" i="26"/>
  <c r="CN30" i="26" s="1"/>
  <c r="GZ173" i="26"/>
  <c r="GZ176" i="26" s="1"/>
  <c r="GZ34" i="26"/>
  <c r="GZ35" i="26" s="1"/>
  <c r="GZ128" i="26"/>
  <c r="GZ134" i="26" s="1"/>
  <c r="DM29" i="26"/>
  <c r="GX173" i="26"/>
  <c r="GX176" i="26" s="1"/>
  <c r="CL89" i="26"/>
  <c r="CL30" i="26" s="1"/>
  <c r="GX128" i="26"/>
  <c r="GX134" i="26" s="1"/>
  <c r="GX34" i="26"/>
  <c r="GX35" i="26" s="1"/>
  <c r="DN29" i="26"/>
  <c r="GY128" i="26"/>
  <c r="GY134" i="26" s="1"/>
  <c r="GY173" i="26"/>
  <c r="GY176" i="26" s="1"/>
  <c r="CM89" i="26"/>
  <c r="CM30" i="26" s="1"/>
  <c r="GY34" i="26"/>
  <c r="GY35" i="26" s="1"/>
  <c r="JA40" i="26"/>
  <c r="JI40" i="26"/>
  <c r="EM37" i="26"/>
  <c r="JB37" i="26"/>
  <c r="EM42" i="26"/>
  <c r="EM66" i="26" s="1"/>
  <c r="JB42" i="26"/>
  <c r="JA42" i="26" s="1"/>
  <c r="EM38" i="26"/>
  <c r="JB38" i="26"/>
  <c r="JA38" i="26" s="1"/>
  <c r="JP16" i="26"/>
  <c r="JN27" i="26"/>
  <c r="IZ19" i="26"/>
  <c r="JA19" i="26" s="1"/>
  <c r="EA53" i="26"/>
  <c r="EA62" i="26" s="1"/>
  <c r="EM45" i="26"/>
  <c r="EC45" i="26"/>
  <c r="EC61" i="26" s="1"/>
  <c r="EO35" i="26"/>
  <c r="CK89" i="26"/>
  <c r="CK30" i="26" s="1"/>
  <c r="DL30" i="26" s="1"/>
  <c r="DL29" i="26"/>
  <c r="JN13" i="26"/>
  <c r="HA33" i="26"/>
  <c r="HO30" i="26"/>
  <c r="HM30" i="26"/>
  <c r="HM33" i="26" s="1"/>
  <c r="HB33" i="26"/>
  <c r="HK30" i="26"/>
  <c r="HC128" i="26"/>
  <c r="HC173" i="26"/>
  <c r="HF156" i="26"/>
  <c r="HE156" i="26"/>
  <c r="HH156" i="26"/>
  <c r="HC34" i="26"/>
  <c r="GW34" i="26"/>
  <c r="GW35" i="26" s="1"/>
  <c r="GW128" i="26"/>
  <c r="GW134" i="26" s="1"/>
  <c r="IB35" i="26"/>
  <c r="IB32" i="26"/>
  <c r="IB31" i="26"/>
  <c r="AT31" i="27"/>
  <c r="EF25" i="26"/>
  <c r="ER25" i="26" s="1"/>
  <c r="ED25" i="26"/>
  <c r="EP25" i="26" s="1"/>
  <c r="EE29" i="26"/>
  <c r="EQ29" i="26" s="1"/>
  <c r="CQ89" i="26"/>
  <c r="CQ30" i="26" s="1"/>
  <c r="EB25" i="26"/>
  <c r="EN25" i="26" s="1"/>
  <c r="GW173" i="26"/>
  <c r="CN41" i="27"/>
  <c r="CU41" i="27"/>
  <c r="CG10" i="27"/>
  <c r="CM10" i="27" s="1"/>
  <c r="L37" i="5"/>
  <c r="H108" i="16"/>
  <c r="H121" i="16" s="1"/>
  <c r="L36" i="5"/>
  <c r="H107" i="16"/>
  <c r="H120" i="16" s="1"/>
  <c r="JI32" i="26"/>
  <c r="JP32" i="26" s="1"/>
  <c r="CA44" i="27"/>
  <c r="CA57" i="27" s="1"/>
  <c r="L40" i="5"/>
  <c r="JI26" i="26"/>
  <c r="JP26" i="26" s="1"/>
  <c r="JI15" i="26"/>
  <c r="JP15" i="26" s="1"/>
  <c r="JG14" i="26"/>
  <c r="JN14" i="26" s="1"/>
  <c r="JI20" i="26"/>
  <c r="JP20" i="26" s="1"/>
  <c r="JI50" i="26"/>
  <c r="JP50" i="26" s="1"/>
  <c r="JI12" i="26"/>
  <c r="JP12" i="26" s="1"/>
  <c r="JG51" i="26"/>
  <c r="JN51" i="26" s="1"/>
  <c r="JI48" i="26"/>
  <c r="JP48" i="26" s="1"/>
  <c r="JO22" i="26"/>
  <c r="JG28" i="26"/>
  <c r="JN28" i="26" s="1"/>
  <c r="JI47" i="26"/>
  <c r="JP47" i="26" s="1"/>
  <c r="JH23" i="26"/>
  <c r="JO23" i="26" s="1"/>
  <c r="JI13" i="26"/>
  <c r="JI46" i="26"/>
  <c r="JP46" i="26" s="1"/>
  <c r="JI18" i="26"/>
  <c r="JP18" i="26" s="1"/>
  <c r="JI27" i="26"/>
  <c r="JP27" i="26" s="1"/>
  <c r="JG49" i="26"/>
  <c r="JN49" i="26" s="1"/>
  <c r="JH21" i="26"/>
  <c r="JO21" i="26" s="1"/>
  <c r="JG34" i="26"/>
  <c r="JN34" i="26" s="1"/>
  <c r="JH52" i="26"/>
  <c r="JO52" i="26" s="1"/>
  <c r="L39" i="5"/>
  <c r="L41" i="5"/>
  <c r="C65" i="16"/>
  <c r="B65" i="16"/>
  <c r="F44" i="5"/>
  <c r="G44" i="5"/>
  <c r="C22" i="45" l="1"/>
  <c r="C125" i="45"/>
  <c r="HC134" i="26"/>
  <c r="HN139" i="26" s="1"/>
  <c r="HN143" i="26"/>
  <c r="HG331" i="26"/>
  <c r="HG337" i="26" s="1"/>
  <c r="HG338" i="26"/>
  <c r="HJ349" i="26"/>
  <c r="HJ347" i="26"/>
  <c r="HE345" i="26"/>
  <c r="HJ331" i="26"/>
  <c r="HJ338" i="26"/>
  <c r="FI19" i="26"/>
  <c r="FR18" i="26"/>
  <c r="HL328" i="26"/>
  <c r="HE327" i="26"/>
  <c r="HE344" i="26" s="1"/>
  <c r="JB61" i="26"/>
  <c r="EA65" i="26"/>
  <c r="EO60" i="26"/>
  <c r="EO37" i="26"/>
  <c r="EO63" i="26" s="1"/>
  <c r="EC63" i="26"/>
  <c r="EM63" i="26"/>
  <c r="DO30" i="26"/>
  <c r="CS55" i="26"/>
  <c r="CS64" i="26" s="1"/>
  <c r="CS62" i="26"/>
  <c r="EM61" i="26"/>
  <c r="EO42" i="26"/>
  <c r="EO66" i="26" s="1"/>
  <c r="HT51" i="26"/>
  <c r="HJ156" i="26"/>
  <c r="JB53" i="26"/>
  <c r="JB65" i="26" s="1"/>
  <c r="EA56" i="26"/>
  <c r="FB19" i="26"/>
  <c r="HN33" i="26"/>
  <c r="FC19" i="26"/>
  <c r="HO33" i="26"/>
  <c r="EY19" i="26"/>
  <c r="FQ16" i="26" s="1"/>
  <c r="D7" i="45" s="1"/>
  <c r="HK33" i="26"/>
  <c r="IE30" i="26"/>
  <c r="FA19" i="26"/>
  <c r="DT53" i="26"/>
  <c r="DT56" i="26"/>
  <c r="CN49" i="27"/>
  <c r="CN45" i="27"/>
  <c r="CU49" i="27"/>
  <c r="CU45" i="27"/>
  <c r="CM31" i="26"/>
  <c r="CM40" i="26" s="1"/>
  <c r="DN30" i="26"/>
  <c r="DS30" i="26"/>
  <c r="CR31" i="26"/>
  <c r="CR40" i="26" s="1"/>
  <c r="CL31" i="26"/>
  <c r="CL40" i="26" s="1"/>
  <c r="DM30" i="26"/>
  <c r="CN31" i="26"/>
  <c r="CN40" i="26" s="1"/>
  <c r="JA37" i="26"/>
  <c r="JB63" i="26"/>
  <c r="IZ25" i="26"/>
  <c r="JA25" i="26" s="1"/>
  <c r="CQ31" i="26"/>
  <c r="DR30" i="26"/>
  <c r="EO45" i="26"/>
  <c r="EC53" i="26"/>
  <c r="EC62" i="26" s="1"/>
  <c r="EM53" i="26"/>
  <c r="EM62" i="26" s="1"/>
  <c r="EA55" i="26"/>
  <c r="AT29" i="27"/>
  <c r="JP13" i="26"/>
  <c r="HC35" i="26"/>
  <c r="HN34" i="26"/>
  <c r="G83" i="45" s="1"/>
  <c r="G85" i="45" s="1"/>
  <c r="HC176" i="26"/>
  <c r="HN173" i="26"/>
  <c r="G73" i="45" s="1"/>
  <c r="HG162" i="26"/>
  <c r="HG37" i="26" s="1"/>
  <c r="HH158" i="26"/>
  <c r="HH160" i="26" s="1"/>
  <c r="HH332" i="26" s="1"/>
  <c r="HE158" i="26"/>
  <c r="HE160" i="26" s="1"/>
  <c r="HE332" i="26" s="1"/>
  <c r="HF158" i="26"/>
  <c r="HB128" i="26"/>
  <c r="HK143" i="26" s="1"/>
  <c r="HB173" i="26"/>
  <c r="HA128" i="26"/>
  <c r="HA173" i="26"/>
  <c r="GX178" i="26"/>
  <c r="GX181" i="26" s="1"/>
  <c r="GX46" i="26" s="1"/>
  <c r="GW178" i="26"/>
  <c r="GW181" i="26" s="1"/>
  <c r="GW46" i="26" s="1"/>
  <c r="GZ178" i="26"/>
  <c r="GZ181" i="26" s="1"/>
  <c r="GZ46" i="26" s="1"/>
  <c r="GY178" i="26"/>
  <c r="GY181" i="26" s="1"/>
  <c r="GY46" i="26" s="1"/>
  <c r="GW129" i="26"/>
  <c r="GW135" i="26" s="1"/>
  <c r="GW137" i="26" s="1"/>
  <c r="GX129" i="26"/>
  <c r="GY129" i="26"/>
  <c r="GZ129" i="26"/>
  <c r="HB34" i="26"/>
  <c r="HA34" i="26"/>
  <c r="IG30" i="26"/>
  <c r="IF30" i="26"/>
  <c r="AT53" i="27"/>
  <c r="AT54" i="27"/>
  <c r="ED29" i="26"/>
  <c r="EP29" i="26" s="1"/>
  <c r="CO89" i="26"/>
  <c r="EF29" i="26"/>
  <c r="ER29" i="26" s="1"/>
  <c r="EB29" i="26"/>
  <c r="EN29" i="26" s="1"/>
  <c r="CP89" i="26"/>
  <c r="GW176" i="26"/>
  <c r="CT41" i="27"/>
  <c r="CR91" i="26"/>
  <c r="CL91" i="26"/>
  <c r="CN91" i="26"/>
  <c r="CQ91" i="26"/>
  <c r="CM91" i="26"/>
  <c r="IZ64" i="26"/>
  <c r="CS10" i="27"/>
  <c r="CO10" i="27"/>
  <c r="CU10" i="27" s="1"/>
  <c r="CM44" i="27"/>
  <c r="CM57" i="27" s="1"/>
  <c r="BZ44" i="27"/>
  <c r="BZ57" i="27" s="1"/>
  <c r="JG19" i="26"/>
  <c r="JP14" i="26"/>
  <c r="JI28" i="26"/>
  <c r="JP28" i="26" s="1"/>
  <c r="JI51" i="26"/>
  <c r="JP51" i="26" s="1"/>
  <c r="JH20" i="26"/>
  <c r="JO20" i="26" s="1"/>
  <c r="JG52" i="26"/>
  <c r="M121" i="1"/>
  <c r="M70" i="1"/>
  <c r="M124" i="1"/>
  <c r="M73" i="1"/>
  <c r="M125" i="1"/>
  <c r="M74" i="1"/>
  <c r="M144" i="1"/>
  <c r="M95" i="1" s="1"/>
  <c r="M140" i="1"/>
  <c r="M72" i="1"/>
  <c r="M109" i="1"/>
  <c r="M58" i="1" s="1"/>
  <c r="M107" i="1"/>
  <c r="M56" i="1" s="1"/>
  <c r="M104" i="1"/>
  <c r="M53" i="1" s="1"/>
  <c r="J97" i="2"/>
  <c r="J61" i="2" s="1"/>
  <c r="J95" i="2"/>
  <c r="J59" i="2" s="1"/>
  <c r="J93" i="2"/>
  <c r="J57" i="2" s="1"/>
  <c r="J92" i="2"/>
  <c r="J56" i="2" s="1"/>
  <c r="J90" i="2"/>
  <c r="J54" i="2" s="1"/>
  <c r="J89" i="2"/>
  <c r="J53" i="2" s="1"/>
  <c r="J88" i="2"/>
  <c r="J52" i="2" s="1"/>
  <c r="J87" i="2"/>
  <c r="J51" i="2" s="1"/>
  <c r="J86" i="2"/>
  <c r="J50" i="2" s="1"/>
  <c r="J85" i="2"/>
  <c r="J49" i="2" s="1"/>
  <c r="J84" i="2"/>
  <c r="J48" i="2" s="1"/>
  <c r="J83" i="2"/>
  <c r="J47" i="2" s="1"/>
  <c r="J82" i="2"/>
  <c r="J46" i="2" s="1"/>
  <c r="J79" i="2"/>
  <c r="J43" i="2" s="1"/>
  <c r="J78" i="2"/>
  <c r="J42" i="2" s="1"/>
  <c r="J77" i="2"/>
  <c r="J41" i="2" s="1"/>
  <c r="H71" i="16"/>
  <c r="H84" i="16" s="1"/>
  <c r="H70" i="16"/>
  <c r="H83" i="16" s="1"/>
  <c r="H76" i="16"/>
  <c r="H89" i="16" s="1"/>
  <c r="A65" i="5"/>
  <c r="H77" i="16"/>
  <c r="H90" i="16" s="1"/>
  <c r="H78" i="16"/>
  <c r="H91" i="16" s="1"/>
  <c r="L26" i="5"/>
  <c r="L25" i="5"/>
  <c r="H69" i="16"/>
  <c r="H82" i="16" s="1"/>
  <c r="HM143" i="26" l="1"/>
  <c r="HO143" i="26"/>
  <c r="HK145" i="26"/>
  <c r="D27" i="45"/>
  <c r="D9" i="45"/>
  <c r="D12" i="45"/>
  <c r="D112" i="45" s="1"/>
  <c r="G27" i="45"/>
  <c r="HN145" i="26"/>
  <c r="HN146" i="26" s="1"/>
  <c r="HB134" i="26"/>
  <c r="HK134" i="26" s="1"/>
  <c r="HK137" i="26" s="1"/>
  <c r="HK139" i="26" s="1"/>
  <c r="GH18" i="26"/>
  <c r="HN176" i="26"/>
  <c r="HN46" i="26" s="1"/>
  <c r="IF46" i="26" s="1"/>
  <c r="HN177" i="26"/>
  <c r="G75" i="45" s="1"/>
  <c r="G123" i="45" s="1"/>
  <c r="HN35" i="26"/>
  <c r="G17" i="45"/>
  <c r="G115" i="45" s="1"/>
  <c r="HE347" i="26"/>
  <c r="HE349" i="26"/>
  <c r="HG348" i="26"/>
  <c r="HE331" i="26"/>
  <c r="HE337" i="26" s="1"/>
  <c r="HE338" i="26"/>
  <c r="HH331" i="26"/>
  <c r="HH337" i="26" s="1"/>
  <c r="HH338" i="26"/>
  <c r="HL345" i="26"/>
  <c r="HJ348" i="26"/>
  <c r="HJ337" i="26"/>
  <c r="FL18" i="26"/>
  <c r="FU16" i="26"/>
  <c r="H7" i="45" s="1"/>
  <c r="FK18" i="26"/>
  <c r="FT16" i="26"/>
  <c r="G7" i="45" s="1"/>
  <c r="FJ18" i="26"/>
  <c r="FS16" i="26"/>
  <c r="F7" i="45" s="1"/>
  <c r="GG16" i="26"/>
  <c r="FQ32" i="26"/>
  <c r="FH18" i="26"/>
  <c r="EA64" i="26"/>
  <c r="HL327" i="26"/>
  <c r="HL344" i="26" s="1"/>
  <c r="EM65" i="26"/>
  <c r="DT55" i="26"/>
  <c r="CS57" i="26"/>
  <c r="DT57" i="26" s="1"/>
  <c r="EC65" i="26"/>
  <c r="EO61" i="26"/>
  <c r="JB62" i="26"/>
  <c r="JA53" i="26"/>
  <c r="JA65" i="26" s="1"/>
  <c r="DR31" i="26"/>
  <c r="CQ40" i="26"/>
  <c r="AS31" i="27"/>
  <c r="CT49" i="27"/>
  <c r="CT45" i="27"/>
  <c r="DS31" i="26"/>
  <c r="CR35" i="26"/>
  <c r="DS40" i="26"/>
  <c r="DM31" i="26"/>
  <c r="CL35" i="26"/>
  <c r="DM40" i="26"/>
  <c r="DO31" i="26"/>
  <c r="CN35" i="26"/>
  <c r="DO40" i="26"/>
  <c r="DN31" i="26"/>
  <c r="CM35" i="26"/>
  <c r="DN40" i="26"/>
  <c r="EM55" i="26"/>
  <c r="JB55" i="26"/>
  <c r="EA57" i="26"/>
  <c r="EM56" i="26"/>
  <c r="JB56" i="26"/>
  <c r="JA56" i="26" s="1"/>
  <c r="JH56" i="26" s="1"/>
  <c r="JO56" i="26" s="1"/>
  <c r="JN52" i="26"/>
  <c r="IZ65" i="26"/>
  <c r="EO53" i="26"/>
  <c r="EO62" i="26" s="1"/>
  <c r="EC55" i="26"/>
  <c r="EC56" i="26"/>
  <c r="EO56" i="26" s="1"/>
  <c r="CQ35" i="26"/>
  <c r="CO91" i="26"/>
  <c r="AO162" i="27" s="1"/>
  <c r="AO166" i="27" s="1"/>
  <c r="CO30" i="26"/>
  <c r="CP91" i="26"/>
  <c r="AP162" i="27" s="1"/>
  <c r="AP166" i="27" s="1"/>
  <c r="CP30" i="26"/>
  <c r="HA129" i="26"/>
  <c r="HA134" i="26"/>
  <c r="GX135" i="26"/>
  <c r="GX137" i="26" s="1"/>
  <c r="GX139" i="26" s="1"/>
  <c r="GX141" i="26" s="1"/>
  <c r="GX38" i="26" s="1"/>
  <c r="GZ135" i="26"/>
  <c r="GZ137" i="26" s="1"/>
  <c r="GZ139" i="26" s="1"/>
  <c r="GZ141" i="26" s="1"/>
  <c r="GZ38" i="26" s="1"/>
  <c r="GY135" i="26"/>
  <c r="GY137" i="26" s="1"/>
  <c r="GY139" i="26" s="1"/>
  <c r="GY141" i="26" s="1"/>
  <c r="GY38" i="26" s="1"/>
  <c r="HF160" i="26"/>
  <c r="HB176" i="26"/>
  <c r="HK173" i="26"/>
  <c r="D73" i="45" s="1"/>
  <c r="HB35" i="26"/>
  <c r="HK35" i="26" s="1"/>
  <c r="HK34" i="26"/>
  <c r="HM173" i="26"/>
  <c r="F73" i="45" s="1"/>
  <c r="HO173" i="26"/>
  <c r="H73" i="45" s="1"/>
  <c r="HA35" i="26"/>
  <c r="HO34" i="26"/>
  <c r="H83" i="45" s="1"/>
  <c r="H85" i="45" s="1"/>
  <c r="HM34" i="26"/>
  <c r="HE162" i="26"/>
  <c r="HE37" i="26" s="1"/>
  <c r="HH162" i="26"/>
  <c r="HH37" i="26" s="1"/>
  <c r="HC129" i="26"/>
  <c r="HD129" i="26"/>
  <c r="HD135" i="26" s="1"/>
  <c r="HB129" i="26"/>
  <c r="HB135" i="26" s="1"/>
  <c r="HB137" i="26" s="1"/>
  <c r="HM137" i="26" s="1"/>
  <c r="HC178" i="26"/>
  <c r="HC181" i="26" s="1"/>
  <c r="HC46" i="26" s="1"/>
  <c r="HD178" i="26"/>
  <c r="HD181" i="26" s="1"/>
  <c r="HD46" i="26" s="1"/>
  <c r="HA176" i="26"/>
  <c r="HA178" i="26"/>
  <c r="HA181" i="26" s="1"/>
  <c r="HA46" i="26" s="1"/>
  <c r="HB178" i="26"/>
  <c r="HB181" i="26" s="1"/>
  <c r="HB46" i="26" s="1"/>
  <c r="GW139" i="26"/>
  <c r="IC33" i="26"/>
  <c r="IC30" i="26"/>
  <c r="AS29" i="27"/>
  <c r="CK93" i="26"/>
  <c r="BZ31" i="27"/>
  <c r="BH31" i="27"/>
  <c r="AT67" i="27"/>
  <c r="AT71" i="27" s="1"/>
  <c r="BZ29" i="27"/>
  <c r="AT66" i="27"/>
  <c r="AT70" i="27" s="1"/>
  <c r="BH29" i="27"/>
  <c r="EE30" i="26"/>
  <c r="BQ30" i="26"/>
  <c r="AK160" i="27"/>
  <c r="AK164" i="27" s="1"/>
  <c r="CR93" i="26"/>
  <c r="CM93" i="26"/>
  <c r="CQ93" i="26"/>
  <c r="CL93" i="26"/>
  <c r="CN93" i="26"/>
  <c r="JN19" i="26"/>
  <c r="AQ160" i="27"/>
  <c r="AQ164" i="27" s="1"/>
  <c r="BW30" i="26"/>
  <c r="AN160" i="27"/>
  <c r="AN164" i="27" s="1"/>
  <c r="BT30" i="26"/>
  <c r="AL160" i="27"/>
  <c r="AL164" i="27" s="1"/>
  <c r="BR30" i="26"/>
  <c r="AR160" i="27"/>
  <c r="AR164" i="27" s="1"/>
  <c r="BX30" i="26"/>
  <c r="AM160" i="27"/>
  <c r="AM164" i="27" s="1"/>
  <c r="BS30" i="26"/>
  <c r="AQ162" i="27"/>
  <c r="AQ166" i="27" s="1"/>
  <c r="AR162" i="27"/>
  <c r="AR166" i="27" s="1"/>
  <c r="AS53" i="27"/>
  <c r="AM162" i="27"/>
  <c r="AM166" i="27" s="1"/>
  <c r="AS54" i="27"/>
  <c r="AN162" i="27"/>
  <c r="AN166" i="27" s="1"/>
  <c r="AL162" i="27"/>
  <c r="AL166" i="27" s="1"/>
  <c r="JH25" i="26"/>
  <c r="JH30" i="26"/>
  <c r="CS44" i="27"/>
  <c r="CS57" i="27" s="1"/>
  <c r="CO44" i="27"/>
  <c r="CO57" i="27" s="1"/>
  <c r="JI19" i="26"/>
  <c r="JP19" i="26" s="1"/>
  <c r="JG25" i="26"/>
  <c r="JN25" i="26" s="1"/>
  <c r="JG53" i="26"/>
  <c r="IZ29" i="26"/>
  <c r="JA29" i="26" s="1"/>
  <c r="M64" i="1"/>
  <c r="M115" i="1"/>
  <c r="M137" i="1"/>
  <c r="M88" i="1"/>
  <c r="M117" i="1"/>
  <c r="M66" i="1"/>
  <c r="M138" i="1"/>
  <c r="M89" i="1"/>
  <c r="M118" i="1"/>
  <c r="M67" i="1"/>
  <c r="M139" i="1"/>
  <c r="M90" i="1"/>
  <c r="M122" i="1"/>
  <c r="M71" i="1"/>
  <c r="M142" i="1"/>
  <c r="M93" i="1"/>
  <c r="M123" i="1"/>
  <c r="M143" i="1"/>
  <c r="M94" i="1"/>
  <c r="M126" i="1"/>
  <c r="M75" i="1"/>
  <c r="M127" i="1"/>
  <c r="M76" i="1"/>
  <c r="M116" i="1"/>
  <c r="M65" i="1"/>
  <c r="M128" i="1"/>
  <c r="M77" i="1"/>
  <c r="M136" i="1"/>
  <c r="M87" i="1"/>
  <c r="M132" i="1"/>
  <c r="M83" i="1"/>
  <c r="M119" i="1"/>
  <c r="M68" i="1"/>
  <c r="M120" i="1"/>
  <c r="M69" i="1"/>
  <c r="M133" i="1"/>
  <c r="M84" i="1"/>
  <c r="M134" i="1"/>
  <c r="M85" i="1"/>
  <c r="M141" i="1"/>
  <c r="M91" i="1"/>
  <c r="M135" i="1"/>
  <c r="M86" i="1"/>
  <c r="L29" i="5"/>
  <c r="H74" i="16" s="1"/>
  <c r="H87" i="16" s="1"/>
  <c r="H73" i="16"/>
  <c r="H86" i="16" s="1"/>
  <c r="M131" i="1"/>
  <c r="M130" i="1"/>
  <c r="H72" i="16"/>
  <c r="H85" i="16" s="1"/>
  <c r="M129" i="1"/>
  <c r="G19" i="45" l="1"/>
  <c r="D14" i="45"/>
  <c r="F12" i="45"/>
  <c r="F112" i="45" s="1"/>
  <c r="F9" i="45"/>
  <c r="G12" i="45"/>
  <c r="G112" i="45" s="1"/>
  <c r="G9" i="45"/>
  <c r="HK146" i="26"/>
  <c r="H12" i="45"/>
  <c r="H112" i="45" s="1"/>
  <c r="H9" i="45"/>
  <c r="H27" i="45"/>
  <c r="HO145" i="26"/>
  <c r="F27" i="45"/>
  <c r="HM145" i="26"/>
  <c r="D17" i="45"/>
  <c r="D115" i="45" s="1"/>
  <c r="D83" i="45"/>
  <c r="D85" i="45" s="1"/>
  <c r="F17" i="45"/>
  <c r="F115" i="45" s="1"/>
  <c r="F83" i="45"/>
  <c r="F85" i="45" s="1"/>
  <c r="HO35" i="26"/>
  <c r="H17" i="45"/>
  <c r="H115" i="45" s="1"/>
  <c r="HO176" i="26"/>
  <c r="HO46" i="26" s="1"/>
  <c r="IG46" i="26" s="1"/>
  <c r="HO177" i="26"/>
  <c r="H75" i="45" s="1"/>
  <c r="H123" i="45" s="1"/>
  <c r="HM176" i="26"/>
  <c r="HM46" i="26" s="1"/>
  <c r="IE46" i="26" s="1"/>
  <c r="HM177" i="26"/>
  <c r="F75" i="45" s="1"/>
  <c r="F123" i="45" s="1"/>
  <c r="HK176" i="26"/>
  <c r="HK46" i="26" s="1"/>
  <c r="IC46" i="26" s="1"/>
  <c r="HK177" i="26"/>
  <c r="D75" i="45" s="1"/>
  <c r="D123" i="45" s="1"/>
  <c r="GG32" i="26"/>
  <c r="HH348" i="26"/>
  <c r="HE348" i="26"/>
  <c r="HL349" i="26"/>
  <c r="HL347" i="26"/>
  <c r="HF332" i="26"/>
  <c r="GI16" i="26"/>
  <c r="FS32" i="26"/>
  <c r="GJ16" i="26"/>
  <c r="FT32" i="26"/>
  <c r="FU32" i="26"/>
  <c r="GK16" i="26"/>
  <c r="EM64" i="26"/>
  <c r="CL72" i="26"/>
  <c r="CL60" i="26"/>
  <c r="DR40" i="26"/>
  <c r="EQ30" i="26"/>
  <c r="EO65" i="26"/>
  <c r="EO55" i="26"/>
  <c r="EO64" i="26" s="1"/>
  <c r="EC64" i="26"/>
  <c r="CN72" i="26"/>
  <c r="CN60" i="26"/>
  <c r="CR72" i="26"/>
  <c r="CR60" i="26"/>
  <c r="CQ72" i="26"/>
  <c r="CQ60" i="26"/>
  <c r="CM72" i="26"/>
  <c r="CM60" i="26"/>
  <c r="CL37" i="26"/>
  <c r="CL42" i="26"/>
  <c r="CL66" i="26" s="1"/>
  <c r="CR42" i="26"/>
  <c r="CR66" i="26" s="1"/>
  <c r="CR37" i="26"/>
  <c r="CN42" i="26"/>
  <c r="CN66" i="26" s="1"/>
  <c r="CN37" i="26"/>
  <c r="CQ42" i="26"/>
  <c r="DR42" i="26" s="1"/>
  <c r="CQ37" i="26"/>
  <c r="CQ63" i="26" s="1"/>
  <c r="CM37" i="26"/>
  <c r="CM42" i="26"/>
  <c r="CM66" i="26" s="1"/>
  <c r="DN38" i="26"/>
  <c r="CM45" i="26"/>
  <c r="CM61" i="26" s="1"/>
  <c r="DN35" i="26"/>
  <c r="CN45" i="26"/>
  <c r="CN61" i="26" s="1"/>
  <c r="DO38" i="26"/>
  <c r="DO35" i="26"/>
  <c r="DS35" i="26"/>
  <c r="DS38" i="26"/>
  <c r="CR45" i="26"/>
  <c r="CR61" i="26" s="1"/>
  <c r="DM35" i="26"/>
  <c r="CL45" i="26"/>
  <c r="DM38" i="26"/>
  <c r="EC57" i="26"/>
  <c r="EO57" i="26" s="1"/>
  <c r="EM57" i="26"/>
  <c r="JB57" i="26"/>
  <c r="JA57" i="26" s="1"/>
  <c r="JA55" i="26"/>
  <c r="JA64" i="26" s="1"/>
  <c r="JB64" i="26"/>
  <c r="JG64" i="26"/>
  <c r="JG65" i="26"/>
  <c r="JN53" i="26"/>
  <c r="CP31" i="26"/>
  <c r="DQ30" i="26"/>
  <c r="CQ45" i="26"/>
  <c r="CQ61" i="26" s="1"/>
  <c r="DR35" i="26"/>
  <c r="CO31" i="26"/>
  <c r="DP30" i="26"/>
  <c r="DR38" i="26"/>
  <c r="JO30" i="26"/>
  <c r="HF162" i="26"/>
  <c r="HD137" i="26"/>
  <c r="HD139" i="26" s="1"/>
  <c r="HO139" i="26"/>
  <c r="HC135" i="26"/>
  <c r="HC137" i="26" s="1"/>
  <c r="HC139" i="26" s="1"/>
  <c r="HA135" i="26"/>
  <c r="HA137" i="26" s="1"/>
  <c r="HA139" i="26" s="1"/>
  <c r="HB139" i="26"/>
  <c r="HM139" i="26" s="1"/>
  <c r="HM35" i="26"/>
  <c r="IE35" i="26" s="1"/>
  <c r="IE34" i="26"/>
  <c r="HC32" i="26"/>
  <c r="HC195" i="26"/>
  <c r="GY32" i="26"/>
  <c r="GY195" i="26"/>
  <c r="GY201" i="26" s="1"/>
  <c r="GZ32" i="26"/>
  <c r="GZ195" i="26"/>
  <c r="GZ201" i="26" s="1"/>
  <c r="HD32" i="26"/>
  <c r="HD195" i="26"/>
  <c r="HD201" i="26" s="1"/>
  <c r="GX32" i="26"/>
  <c r="GX195" i="26"/>
  <c r="GX201" i="26" s="1"/>
  <c r="IF34" i="26"/>
  <c r="IC34" i="26"/>
  <c r="IG34" i="26"/>
  <c r="BU30" i="26"/>
  <c r="EE82" i="26"/>
  <c r="CO93" i="26"/>
  <c r="ED30" i="26"/>
  <c r="AO160" i="27"/>
  <c r="AO164" i="27" s="1"/>
  <c r="BH66" i="27"/>
  <c r="BH70" i="27" s="1"/>
  <c r="AT68" i="27"/>
  <c r="AT72" i="27" s="1"/>
  <c r="BH67" i="27"/>
  <c r="BH71" i="27" s="1"/>
  <c r="EF30" i="26"/>
  <c r="AP160" i="27"/>
  <c r="AP164" i="27" s="1"/>
  <c r="BV30" i="26"/>
  <c r="CP93" i="26"/>
  <c r="EB30" i="26"/>
  <c r="EE31" i="26"/>
  <c r="EE40" i="26" s="1"/>
  <c r="AO37" i="27"/>
  <c r="HD197" i="26"/>
  <c r="HD203" i="26" s="1"/>
  <c r="GY197" i="26"/>
  <c r="GY203" i="26" s="1"/>
  <c r="HC197" i="26"/>
  <c r="GZ197" i="26"/>
  <c r="GZ203" i="26" s="1"/>
  <c r="GX197" i="26"/>
  <c r="GX203" i="26" s="1"/>
  <c r="CH36" i="27"/>
  <c r="BB36" i="27"/>
  <c r="BA36" i="27"/>
  <c r="AZ36" i="27"/>
  <c r="AM37" i="27"/>
  <c r="BA37" i="27" s="1"/>
  <c r="BD36" i="27"/>
  <c r="AP37" i="27"/>
  <c r="BE36" i="27"/>
  <c r="BF36" i="27"/>
  <c r="BC36" i="27"/>
  <c r="AL37" i="27"/>
  <c r="AZ37" i="27" s="1"/>
  <c r="CO29" i="27"/>
  <c r="CN29" i="27" s="1"/>
  <c r="BG29" i="27"/>
  <c r="CO31" i="27"/>
  <c r="BG31" i="27"/>
  <c r="BV31" i="27" s="1"/>
  <c r="AQ37" i="27"/>
  <c r="BE37" i="27" s="1"/>
  <c r="AN37" i="27"/>
  <c r="BB37" i="27" s="1"/>
  <c r="AR37" i="27"/>
  <c r="AS67" i="27"/>
  <c r="AS71" i="27" s="1"/>
  <c r="AS66" i="27"/>
  <c r="AS70" i="27" s="1"/>
  <c r="AR63" i="27"/>
  <c r="AR62" i="27"/>
  <c r="CU44" i="27"/>
  <c r="CU57" i="27" s="1"/>
  <c r="JI29" i="26"/>
  <c r="JP29" i="26" s="1"/>
  <c r="JG29" i="26"/>
  <c r="JN29" i="26" s="1"/>
  <c r="JG57" i="26"/>
  <c r="JN57" i="26" s="1"/>
  <c r="JP25" i="26"/>
  <c r="IZ31" i="26"/>
  <c r="JA31" i="26" s="1"/>
  <c r="D67" i="16"/>
  <c r="AM12" i="22"/>
  <c r="H19" i="45" l="1"/>
  <c r="F19" i="45"/>
  <c r="D19" i="45"/>
  <c r="H14" i="45"/>
  <c r="G14" i="45"/>
  <c r="F14" i="45"/>
  <c r="HM146" i="26"/>
  <c r="HO146" i="26"/>
  <c r="GJ32" i="26"/>
  <c r="GI32" i="26"/>
  <c r="GK32" i="26"/>
  <c r="HF331" i="26"/>
  <c r="HF348" i="26" s="1"/>
  <c r="HF338" i="26"/>
  <c r="HL332" i="26"/>
  <c r="DS42" i="26"/>
  <c r="CQ66" i="26"/>
  <c r="CM71" i="26"/>
  <c r="CM73" i="26" s="1"/>
  <c r="CM63" i="26"/>
  <c r="CN71" i="26"/>
  <c r="CN73" i="26" s="1"/>
  <c r="CN63" i="26"/>
  <c r="ER30" i="26"/>
  <c r="EP30" i="26"/>
  <c r="CR71" i="26"/>
  <c r="CR73" i="26" s="1"/>
  <c r="CR63" i="26"/>
  <c r="EN30" i="26"/>
  <c r="HV49" i="26"/>
  <c r="CL61" i="26"/>
  <c r="CL71" i="26"/>
  <c r="CL73" i="26" s="1"/>
  <c r="CL63" i="26"/>
  <c r="DR37" i="26"/>
  <c r="CQ71" i="26"/>
  <c r="CQ73" i="26" s="1"/>
  <c r="DM42" i="26"/>
  <c r="DO42" i="26"/>
  <c r="DQ31" i="26"/>
  <c r="CP40" i="26"/>
  <c r="DN42" i="26"/>
  <c r="CO35" i="26"/>
  <c r="CO40" i="26"/>
  <c r="HL162" i="26"/>
  <c r="EQ38" i="26"/>
  <c r="BP37" i="27"/>
  <c r="BP36" i="27"/>
  <c r="BV29" i="27"/>
  <c r="BC146" i="27"/>
  <c r="BC147" i="27" s="1"/>
  <c r="BQ36" i="27"/>
  <c r="BO37" i="27"/>
  <c r="BD146" i="27"/>
  <c r="BD147" i="27" s="1"/>
  <c r="BR36" i="27"/>
  <c r="AZ146" i="27"/>
  <c r="AZ147" i="27" s="1"/>
  <c r="BA146" i="27"/>
  <c r="BA147" i="27" s="1"/>
  <c r="BO36" i="27"/>
  <c r="BF146" i="27"/>
  <c r="BT36" i="27"/>
  <c r="BU36" i="27"/>
  <c r="BE146" i="27"/>
  <c r="BE147" i="27" s="1"/>
  <c r="BS36" i="27"/>
  <c r="DO37" i="26"/>
  <c r="DM37" i="26"/>
  <c r="DN37" i="26"/>
  <c r="DO45" i="26"/>
  <c r="CN53" i="26"/>
  <c r="DS45" i="26"/>
  <c r="CR53" i="26"/>
  <c r="CR65" i="26" s="1"/>
  <c r="DS37" i="26"/>
  <c r="DN45" i="26"/>
  <c r="CM53" i="26"/>
  <c r="CM62" i="26" s="1"/>
  <c r="CL53" i="26"/>
  <c r="CL65" i="26" s="1"/>
  <c r="DM45" i="26"/>
  <c r="CP35" i="26"/>
  <c r="JN64" i="26"/>
  <c r="JN65" i="26"/>
  <c r="DR45" i="26"/>
  <c r="CQ53" i="26"/>
  <c r="CQ62" i="26" s="1"/>
  <c r="HA195" i="26"/>
  <c r="HA201" i="26" s="1"/>
  <c r="DP31" i="26"/>
  <c r="EQ31" i="26"/>
  <c r="EQ40" i="26"/>
  <c r="HF37" i="26"/>
  <c r="HN195" i="26"/>
  <c r="HC201" i="26"/>
  <c r="HN197" i="26"/>
  <c r="HC203" i="26"/>
  <c r="HD49" i="26"/>
  <c r="GX51" i="26"/>
  <c r="GZ49" i="26"/>
  <c r="GZ51" i="26"/>
  <c r="GY49" i="26"/>
  <c r="GX49" i="26"/>
  <c r="HC51" i="26"/>
  <c r="GY51" i="26"/>
  <c r="HC49" i="26"/>
  <c r="HD51" i="26"/>
  <c r="HN32" i="26"/>
  <c r="HB32" i="26"/>
  <c r="HK32" i="26" s="1"/>
  <c r="EY21" i="26" s="1"/>
  <c r="FQ19" i="26" s="1"/>
  <c r="HB195" i="26"/>
  <c r="HA32" i="26"/>
  <c r="GX155" i="26"/>
  <c r="GX328" i="26" s="1"/>
  <c r="GZ155" i="26"/>
  <c r="GZ328" i="26" s="1"/>
  <c r="HC155" i="26"/>
  <c r="HC328" i="26" s="1"/>
  <c r="GY155" i="26"/>
  <c r="GY328" i="26" s="1"/>
  <c r="HD155" i="26"/>
  <c r="HD328" i="26" s="1"/>
  <c r="GX31" i="26"/>
  <c r="GZ31" i="26"/>
  <c r="HC31" i="26"/>
  <c r="GY31" i="26"/>
  <c r="HD31" i="26"/>
  <c r="EB31" i="26"/>
  <c r="EB40" i="26" s="1"/>
  <c r="ED31" i="26"/>
  <c r="ED40" i="26" s="1"/>
  <c r="EB82" i="26"/>
  <c r="EF82" i="26"/>
  <c r="EF31" i="26"/>
  <c r="EF40" i="26" s="1"/>
  <c r="ED82" i="26"/>
  <c r="BF37" i="27"/>
  <c r="CB37" i="27"/>
  <c r="CI37" i="27" s="1"/>
  <c r="BH68" i="27"/>
  <c r="BH72" i="27" s="1"/>
  <c r="BD37" i="27"/>
  <c r="CA37" i="27"/>
  <c r="CH37" i="27" s="1"/>
  <c r="EE35" i="26"/>
  <c r="BC37" i="27"/>
  <c r="BQ37" i="27" s="1"/>
  <c r="AO41" i="27"/>
  <c r="AM41" i="27"/>
  <c r="AP41" i="27"/>
  <c r="AL41" i="27"/>
  <c r="AR41" i="27"/>
  <c r="BG67" i="27"/>
  <c r="BG71" i="27" s="1"/>
  <c r="BG66" i="27"/>
  <c r="AQ41" i="27"/>
  <c r="AN41" i="27"/>
  <c r="AS68" i="27"/>
  <c r="AS72" i="27" s="1"/>
  <c r="AM15" i="22"/>
  <c r="BF63" i="27"/>
  <c r="BF62" i="27"/>
  <c r="EF89" i="26" s="1"/>
  <c r="ER41" i="26" s="1"/>
  <c r="CO67" i="27"/>
  <c r="CO71" i="27" s="1"/>
  <c r="CO66" i="27"/>
  <c r="CG29" i="27"/>
  <c r="BZ66" i="27"/>
  <c r="CG31" i="27"/>
  <c r="BZ67" i="27"/>
  <c r="BZ71" i="27" s="1"/>
  <c r="AR64" i="27"/>
  <c r="AN62" i="27"/>
  <c r="CU29" i="27"/>
  <c r="CN31" i="27"/>
  <c r="CU31" i="27"/>
  <c r="AN63" i="27"/>
  <c r="BF145" i="27"/>
  <c r="BB146" i="27"/>
  <c r="JG31" i="26"/>
  <c r="JN31" i="26" s="1"/>
  <c r="JO25" i="26"/>
  <c r="JH29" i="26"/>
  <c r="JO29" i="26" s="1"/>
  <c r="IZ35" i="26"/>
  <c r="JA35" i="26" s="1"/>
  <c r="E73" i="16"/>
  <c r="D73" i="16"/>
  <c r="E70" i="16"/>
  <c r="D70" i="16"/>
  <c r="D78" i="16"/>
  <c r="D76" i="16"/>
  <c r="B78" i="16"/>
  <c r="B76" i="16"/>
  <c r="E69" i="16"/>
  <c r="D69" i="16"/>
  <c r="D65" i="1"/>
  <c r="C65" i="1"/>
  <c r="K62" i="1"/>
  <c r="D62" i="1" s="1"/>
  <c r="J62" i="1"/>
  <c r="J63" i="1"/>
  <c r="C63" i="1" s="1"/>
  <c r="D72" i="1"/>
  <c r="C62" i="1"/>
  <c r="C53" i="1"/>
  <c r="HL37" i="26" l="1"/>
  <c r="ID37" i="26" s="1"/>
  <c r="E24" i="45"/>
  <c r="E125" i="45" s="1"/>
  <c r="GG19" i="26"/>
  <c r="HD345" i="26"/>
  <c r="GY345" i="26"/>
  <c r="GZ345" i="26"/>
  <c r="GX345" i="26"/>
  <c r="HN332" i="26"/>
  <c r="HC345" i="26"/>
  <c r="HL338" i="26"/>
  <c r="HF337" i="26"/>
  <c r="HL331" i="26"/>
  <c r="HL337" i="26" s="1"/>
  <c r="FH20" i="26"/>
  <c r="GY327" i="26"/>
  <c r="GY344" i="26" s="1"/>
  <c r="HC327" i="26"/>
  <c r="HC344" i="26" s="1"/>
  <c r="HN328" i="26"/>
  <c r="HD327" i="26"/>
  <c r="HD344" i="26" s="1"/>
  <c r="GZ327" i="26"/>
  <c r="GZ344" i="26" s="1"/>
  <c r="GX327" i="26"/>
  <c r="GX344" i="26" s="1"/>
  <c r="CO72" i="26"/>
  <c r="CO60" i="26"/>
  <c r="CP72" i="26"/>
  <c r="CP60" i="26"/>
  <c r="DP40" i="26"/>
  <c r="CN55" i="26"/>
  <c r="CN64" i="26" s="1"/>
  <c r="CN62" i="26"/>
  <c r="HU49" i="26"/>
  <c r="HS49" i="26"/>
  <c r="CL55" i="26"/>
  <c r="CL64" i="26" s="1"/>
  <c r="CL62" i="26"/>
  <c r="DQ40" i="26"/>
  <c r="CM65" i="26"/>
  <c r="CR55" i="26"/>
  <c r="CR64" i="26" s="1"/>
  <c r="CR62" i="26"/>
  <c r="CQ65" i="26"/>
  <c r="EE42" i="26"/>
  <c r="EQ42" i="26" s="1"/>
  <c r="EQ66" i="26" s="1"/>
  <c r="EE60" i="26"/>
  <c r="CN65" i="26"/>
  <c r="HW49" i="26"/>
  <c r="CO45" i="26"/>
  <c r="CO53" i="26" s="1"/>
  <c r="HA197" i="26"/>
  <c r="HA203" i="26" s="1"/>
  <c r="HN160" i="26"/>
  <c r="HN162" i="26" s="1"/>
  <c r="DP35" i="26"/>
  <c r="EE37" i="26"/>
  <c r="DQ35" i="26"/>
  <c r="CP42" i="26"/>
  <c r="DQ42" i="26" s="1"/>
  <c r="CP37" i="26"/>
  <c r="CM55" i="26"/>
  <c r="CM64" i="26" s="1"/>
  <c r="CQ55" i="26"/>
  <c r="CQ64" i="26" s="1"/>
  <c r="CO37" i="26"/>
  <c r="CO42" i="26"/>
  <c r="DP42" i="26" s="1"/>
  <c r="IB37" i="26"/>
  <c r="EX24" i="26"/>
  <c r="IF33" i="26"/>
  <c r="FB21" i="26"/>
  <c r="FT19" i="26" s="1"/>
  <c r="AL49" i="27"/>
  <c r="AL45" i="27"/>
  <c r="AM45" i="27"/>
  <c r="AM49" i="27"/>
  <c r="AR49" i="27"/>
  <c r="AR45" i="27"/>
  <c r="AP45" i="27"/>
  <c r="AP49" i="27"/>
  <c r="AN45" i="27"/>
  <c r="AN49" i="27"/>
  <c r="AO45" i="27"/>
  <c r="AO49" i="27"/>
  <c r="AQ45" i="27"/>
  <c r="AQ49" i="27"/>
  <c r="BR37" i="27"/>
  <c r="BT37" i="27"/>
  <c r="BU37" i="27"/>
  <c r="BS37" i="27"/>
  <c r="BF147" i="27"/>
  <c r="DO53" i="26"/>
  <c r="DO56" i="26"/>
  <c r="HB197" i="26"/>
  <c r="HB203" i="26" s="1"/>
  <c r="DQ38" i="26"/>
  <c r="DM56" i="26"/>
  <c r="DM53" i="26"/>
  <c r="CP45" i="26"/>
  <c r="CP61" i="26" s="1"/>
  <c r="DS56" i="26"/>
  <c r="DS53" i="26"/>
  <c r="DN53" i="26"/>
  <c r="DN56" i="26"/>
  <c r="JA61" i="26"/>
  <c r="JA62" i="26"/>
  <c r="JA60" i="26"/>
  <c r="JA63" i="26"/>
  <c r="IZ61" i="26"/>
  <c r="IZ60" i="26"/>
  <c r="IZ62" i="26"/>
  <c r="IZ63" i="26"/>
  <c r="EP31" i="26"/>
  <c r="EP40" i="26"/>
  <c r="ER31" i="26"/>
  <c r="ER40" i="26"/>
  <c r="EN31" i="26"/>
  <c r="EN40" i="26"/>
  <c r="DP38" i="26"/>
  <c r="DR56" i="26"/>
  <c r="DR53" i="26"/>
  <c r="EE45" i="26"/>
  <c r="EE61" i="26" s="1"/>
  <c r="EQ35" i="26"/>
  <c r="HK195" i="26"/>
  <c r="HK201" i="26" s="1"/>
  <c r="HB201" i="26"/>
  <c r="HO195" i="26"/>
  <c r="HO201" i="26" s="1"/>
  <c r="HO49" i="26" s="1"/>
  <c r="HM195" i="26"/>
  <c r="HM201" i="26" s="1"/>
  <c r="HB49" i="26"/>
  <c r="HA49" i="26"/>
  <c r="HO32" i="26"/>
  <c r="HM32" i="26"/>
  <c r="FA21" i="26" s="1"/>
  <c r="HN31" i="26"/>
  <c r="FB20" i="26" s="1"/>
  <c r="FT18" i="26" s="1"/>
  <c r="HA155" i="26"/>
  <c r="HB155" i="26"/>
  <c r="GX40" i="26"/>
  <c r="GX42" i="26" s="1"/>
  <c r="GX123" i="26"/>
  <c r="HB40" i="26"/>
  <c r="HB123" i="26"/>
  <c r="HD40" i="26"/>
  <c r="HD123" i="26"/>
  <c r="HA40" i="26"/>
  <c r="HA42" i="26" s="1"/>
  <c r="HA123" i="26"/>
  <c r="GZ168" i="26"/>
  <c r="GZ169" i="26" s="1"/>
  <c r="GZ45" i="26" s="1"/>
  <c r="GZ40" i="26"/>
  <c r="GZ42" i="26" s="1"/>
  <c r="GZ123" i="26"/>
  <c r="HC168" i="26"/>
  <c r="HC169" i="26" s="1"/>
  <c r="HC45" i="26" s="1"/>
  <c r="HC40" i="26"/>
  <c r="HC42" i="26" s="1"/>
  <c r="HC123" i="26"/>
  <c r="GY168" i="26"/>
  <c r="GY169" i="26" s="1"/>
  <c r="GY45" i="26" s="1"/>
  <c r="GY40" i="26"/>
  <c r="GY42" i="26" s="1"/>
  <c r="GY123" i="26"/>
  <c r="HA31" i="26"/>
  <c r="HB31" i="26"/>
  <c r="HK31" i="26" s="1"/>
  <c r="EY20" i="26" s="1"/>
  <c r="FQ18" i="26" s="1"/>
  <c r="EB35" i="26"/>
  <c r="CB41" i="27"/>
  <c r="HD168" i="26"/>
  <c r="HO168" i="26" s="1"/>
  <c r="GX168" i="26"/>
  <c r="CA41" i="27"/>
  <c r="HB168" i="26"/>
  <c r="HA168" i="26"/>
  <c r="EF35" i="26"/>
  <c r="ED35" i="26"/>
  <c r="EF90" i="26"/>
  <c r="EF91" i="26" s="1"/>
  <c r="BC41" i="27"/>
  <c r="BA41" i="27"/>
  <c r="AZ41" i="27"/>
  <c r="BD41" i="27"/>
  <c r="BB41" i="27"/>
  <c r="BF41" i="27"/>
  <c r="BE41" i="27"/>
  <c r="BG68" i="27"/>
  <c r="BG72" i="27" s="1"/>
  <c r="BG70" i="27"/>
  <c r="AM17" i="22"/>
  <c r="AM26" i="22" s="1"/>
  <c r="BF64" i="27"/>
  <c r="BB63" i="27"/>
  <c r="CN67" i="27"/>
  <c r="CN71" i="27" s="1"/>
  <c r="BB62" i="27"/>
  <c r="CG67" i="27"/>
  <c r="CG71" i="27" s="1"/>
  <c r="CU67" i="27"/>
  <c r="CU71" i="27" s="1"/>
  <c r="CN66" i="27"/>
  <c r="CO68" i="27"/>
  <c r="CO72" i="27" s="1"/>
  <c r="CO70" i="27"/>
  <c r="CU66" i="27"/>
  <c r="BZ70" i="27"/>
  <c r="BZ68" i="27"/>
  <c r="BZ72" i="27" s="1"/>
  <c r="CG66" i="27"/>
  <c r="AN64" i="27"/>
  <c r="CT31" i="27"/>
  <c r="CT29" i="27"/>
  <c r="BB145" i="27"/>
  <c r="BB147" i="27" s="1"/>
  <c r="JI30" i="26"/>
  <c r="JP40" i="26"/>
  <c r="JG35" i="26"/>
  <c r="W24" i="10"/>
  <c r="V24" i="10"/>
  <c r="W23" i="10"/>
  <c r="V23" i="10"/>
  <c r="W22" i="10"/>
  <c r="V22" i="10"/>
  <c r="W13" i="10"/>
  <c r="V13" i="10"/>
  <c r="W10" i="10"/>
  <c r="X12" i="9"/>
  <c r="W12" i="9"/>
  <c r="X11" i="9"/>
  <c r="W11" i="9"/>
  <c r="X10" i="9"/>
  <c r="W10" i="9"/>
  <c r="X9" i="9"/>
  <c r="W9" i="9"/>
  <c r="X8" i="9"/>
  <c r="W8" i="9"/>
  <c r="AQ8" i="8"/>
  <c r="AQ15" i="8" s="1"/>
  <c r="AP8" i="8"/>
  <c r="AP15" i="8" s="1"/>
  <c r="AM8" i="8"/>
  <c r="AM15" i="8" s="1"/>
  <c r="AR9" i="18"/>
  <c r="AR14" i="18" s="1"/>
  <c r="AQ9" i="18"/>
  <c r="AQ14" i="18" s="1"/>
  <c r="AN9" i="18"/>
  <c r="AN14" i="18" s="1"/>
  <c r="AM9" i="18"/>
  <c r="AM14" i="18" s="1"/>
  <c r="AB26" i="7"/>
  <c r="AA26" i="7"/>
  <c r="AB25" i="7"/>
  <c r="AA25" i="7"/>
  <c r="AB24" i="7"/>
  <c r="AA24" i="7"/>
  <c r="AB23" i="7"/>
  <c r="AA23" i="7"/>
  <c r="AB22" i="7"/>
  <c r="AA22" i="7"/>
  <c r="AB21" i="7"/>
  <c r="AA21" i="7"/>
  <c r="AB18" i="7"/>
  <c r="AA18" i="7"/>
  <c r="AB17" i="7"/>
  <c r="AA17" i="7"/>
  <c r="AB16" i="7"/>
  <c r="AA16" i="7"/>
  <c r="AB15" i="7"/>
  <c r="AA15" i="7"/>
  <c r="AB12" i="7"/>
  <c r="AA12" i="7"/>
  <c r="AB11" i="7"/>
  <c r="AA11" i="7"/>
  <c r="AB10" i="7"/>
  <c r="AA10" i="7"/>
  <c r="AU34" i="6"/>
  <c r="AT34" i="6"/>
  <c r="AQ34" i="6"/>
  <c r="AP34" i="6"/>
  <c r="AU33" i="6"/>
  <c r="AT33" i="6"/>
  <c r="AQ33" i="6"/>
  <c r="AP33" i="6"/>
  <c r="AU32" i="6"/>
  <c r="AT32" i="6"/>
  <c r="AQ32" i="6"/>
  <c r="AP32" i="6"/>
  <c r="AU31" i="6"/>
  <c r="AT31" i="6"/>
  <c r="AQ31" i="6"/>
  <c r="AP31" i="6"/>
  <c r="AP36" i="6" s="1"/>
  <c r="AU28" i="6"/>
  <c r="AT28" i="6"/>
  <c r="AQ28" i="6"/>
  <c r="AU27" i="6"/>
  <c r="AT27" i="6"/>
  <c r="AQ27" i="6"/>
  <c r="AP27" i="6"/>
  <c r="AU25" i="6"/>
  <c r="AT25" i="6"/>
  <c r="AQ25" i="6"/>
  <c r="AP25" i="6"/>
  <c r="AU24" i="6"/>
  <c r="AT24" i="6"/>
  <c r="AQ24" i="6"/>
  <c r="AP24" i="6"/>
  <c r="AU22" i="6"/>
  <c r="AT22" i="6"/>
  <c r="AQ22" i="6"/>
  <c r="AP22" i="6"/>
  <c r="AU21" i="6"/>
  <c r="AT21" i="6"/>
  <c r="AQ21" i="6"/>
  <c r="AP21" i="6"/>
  <c r="AU20" i="6"/>
  <c r="AT20" i="6"/>
  <c r="AQ20" i="6"/>
  <c r="AP20" i="6"/>
  <c r="AU19" i="6"/>
  <c r="AT19" i="6"/>
  <c r="AQ19" i="6"/>
  <c r="AP19" i="6"/>
  <c r="AU18" i="6"/>
  <c r="AT18" i="6"/>
  <c r="AQ18" i="6"/>
  <c r="AP18" i="6"/>
  <c r="AU16" i="6"/>
  <c r="AT16" i="6"/>
  <c r="AQ16" i="6"/>
  <c r="AP16" i="6"/>
  <c r="AU15" i="6"/>
  <c r="AT15" i="6"/>
  <c r="AQ15" i="6"/>
  <c r="AP15" i="6"/>
  <c r="AU14" i="6"/>
  <c r="AT14" i="6"/>
  <c r="AQ14" i="6"/>
  <c r="AP14" i="6"/>
  <c r="AU13" i="6"/>
  <c r="AT13" i="6"/>
  <c r="AQ13" i="6"/>
  <c r="AP13" i="6"/>
  <c r="AU11" i="6"/>
  <c r="AT11" i="6"/>
  <c r="AQ11" i="6"/>
  <c r="AP11" i="6"/>
  <c r="AU10" i="6"/>
  <c r="AT10" i="6"/>
  <c r="AQ10" i="6"/>
  <c r="AP10" i="6"/>
  <c r="AQ9" i="6"/>
  <c r="E22" i="45" l="1"/>
  <c r="EZ24" i="26"/>
  <c r="FI23" i="26" s="1"/>
  <c r="HO147" i="26"/>
  <c r="H29" i="45" s="1"/>
  <c r="HL147" i="26"/>
  <c r="E29" i="45" s="1"/>
  <c r="HM147" i="26"/>
  <c r="F29" i="45" s="1"/>
  <c r="HK147" i="26"/>
  <c r="D29" i="45" s="1"/>
  <c r="HN147" i="26"/>
  <c r="G29" i="45" s="1"/>
  <c r="GJ19" i="26"/>
  <c r="HO169" i="26"/>
  <c r="HO45" i="26" s="1"/>
  <c r="H69" i="45"/>
  <c r="H70" i="45" s="1"/>
  <c r="H122" i="45" s="1"/>
  <c r="GJ18" i="26"/>
  <c r="HN37" i="26"/>
  <c r="FB24" i="26" s="1"/>
  <c r="FT24" i="26" s="1"/>
  <c r="G24" i="45"/>
  <c r="G125" i="45" s="1"/>
  <c r="GG18" i="26"/>
  <c r="HC349" i="26"/>
  <c r="HC347" i="26"/>
  <c r="GZ347" i="26"/>
  <c r="GX349" i="26"/>
  <c r="GX347" i="26"/>
  <c r="GY349" i="26"/>
  <c r="HN338" i="26"/>
  <c r="HN331" i="26"/>
  <c r="HN337" i="26" s="1"/>
  <c r="GY347" i="26"/>
  <c r="HN345" i="26"/>
  <c r="GZ349" i="26"/>
  <c r="HD349" i="26"/>
  <c r="HL348" i="26"/>
  <c r="HD347" i="26"/>
  <c r="FG23" i="26"/>
  <c r="FP24" i="26"/>
  <c r="FJ20" i="26"/>
  <c r="FS19" i="26"/>
  <c r="FH19" i="26"/>
  <c r="FK20" i="26"/>
  <c r="FK19" i="26"/>
  <c r="HN327" i="26"/>
  <c r="HN344" i="26" s="1"/>
  <c r="HA156" i="26"/>
  <c r="HA158" i="26" s="1"/>
  <c r="HA160" i="26" s="1"/>
  <c r="HA332" i="26" s="1"/>
  <c r="HA328" i="26"/>
  <c r="HK155" i="26"/>
  <c r="HK158" i="26" s="1"/>
  <c r="HB328" i="26"/>
  <c r="CO66" i="26"/>
  <c r="CP66" i="26"/>
  <c r="HA51" i="26"/>
  <c r="CO55" i="26"/>
  <c r="CO64" i="26" s="1"/>
  <c r="CO62" i="26"/>
  <c r="EQ60" i="26"/>
  <c r="EB60" i="26"/>
  <c r="DP45" i="26"/>
  <c r="EQ37" i="26"/>
  <c r="EQ63" i="26" s="1"/>
  <c r="EE63" i="26"/>
  <c r="CP71" i="26"/>
  <c r="CP73" i="26" s="1"/>
  <c r="CP63" i="26"/>
  <c r="ED60" i="26"/>
  <c r="EF60" i="26"/>
  <c r="CO61" i="26"/>
  <c r="HV51" i="26"/>
  <c r="EE66" i="26"/>
  <c r="HW52" i="26"/>
  <c r="CO65" i="26"/>
  <c r="CO71" i="26"/>
  <c r="CO73" i="26" s="1"/>
  <c r="CO63" i="26"/>
  <c r="DP37" i="26"/>
  <c r="DQ37" i="26"/>
  <c r="ED37" i="26"/>
  <c r="ED42" i="26"/>
  <c r="ED66" i="26" s="1"/>
  <c r="EF37" i="26"/>
  <c r="EF42" i="26"/>
  <c r="EF66" i="26" s="1"/>
  <c r="EB37" i="26"/>
  <c r="EB42" i="26"/>
  <c r="EB66" i="26" s="1"/>
  <c r="BD42" i="27"/>
  <c r="BB42" i="27"/>
  <c r="AQ36" i="6"/>
  <c r="AT36" i="6"/>
  <c r="AU36" i="6"/>
  <c r="IG33" i="26"/>
  <c r="FC21" i="26"/>
  <c r="FU19" i="26" s="1"/>
  <c r="HK197" i="26"/>
  <c r="HK203" i="26" s="1"/>
  <c r="EP38" i="26"/>
  <c r="ER38" i="26"/>
  <c r="AT37" i="6"/>
  <c r="BE42" i="27"/>
  <c r="AU37" i="6"/>
  <c r="AA30" i="7"/>
  <c r="AB30" i="7"/>
  <c r="AB31" i="7"/>
  <c r="AB29" i="7"/>
  <c r="CP53" i="26"/>
  <c r="CP62" i="26" s="1"/>
  <c r="DQ45" i="26"/>
  <c r="AP37" i="6"/>
  <c r="AA29" i="7"/>
  <c r="AA31" i="7"/>
  <c r="AQ37" i="6"/>
  <c r="BA42" i="27"/>
  <c r="BF42" i="27"/>
  <c r="BG42" i="27"/>
  <c r="BC42" i="27"/>
  <c r="BF49" i="27"/>
  <c r="BF45" i="27"/>
  <c r="BB45" i="27"/>
  <c r="BB49" i="27"/>
  <c r="BD49" i="27"/>
  <c r="BD45" i="27"/>
  <c r="AZ49" i="27"/>
  <c r="AZ45" i="27"/>
  <c r="BA49" i="27"/>
  <c r="BA45" i="27"/>
  <c r="BC45" i="27"/>
  <c r="BC49" i="27"/>
  <c r="BE49" i="27"/>
  <c r="BE45" i="27"/>
  <c r="BA80" i="27"/>
  <c r="BO41" i="27"/>
  <c r="BR41" i="27"/>
  <c r="BD80" i="27"/>
  <c r="BS41" i="27"/>
  <c r="BE80" i="27"/>
  <c r="BB80" i="27"/>
  <c r="BP41" i="27"/>
  <c r="BF80" i="27"/>
  <c r="BF81" i="27" s="1"/>
  <c r="BT41" i="27"/>
  <c r="BU41" i="27"/>
  <c r="AZ80" i="27"/>
  <c r="BQ41" i="27"/>
  <c r="BC80" i="27"/>
  <c r="CB45" i="27"/>
  <c r="CB49" i="27"/>
  <c r="CH41" i="27"/>
  <c r="CA45" i="27"/>
  <c r="CA49" i="27"/>
  <c r="HB51" i="26"/>
  <c r="CL57" i="26"/>
  <c r="DM57" i="26" s="1"/>
  <c r="DM55" i="26"/>
  <c r="CR57" i="26"/>
  <c r="DS57" i="26" s="1"/>
  <c r="DS55" i="26"/>
  <c r="CN57" i="26"/>
  <c r="DO57" i="26" s="1"/>
  <c r="DO55" i="26"/>
  <c r="CM57" i="26"/>
  <c r="DN57" i="26" s="1"/>
  <c r="DN55" i="26"/>
  <c r="HO197" i="26"/>
  <c r="HO203" i="26" s="1"/>
  <c r="FC38" i="26" s="1"/>
  <c r="GB22" i="26" s="1"/>
  <c r="AM31" i="27"/>
  <c r="HM197" i="26"/>
  <c r="HM203" i="26" s="1"/>
  <c r="JG62" i="26"/>
  <c r="JG63" i="26"/>
  <c r="JG61" i="26"/>
  <c r="JG60" i="26"/>
  <c r="DP56" i="26"/>
  <c r="DP53" i="26"/>
  <c r="CQ57" i="26"/>
  <c r="DR57" i="26" s="1"/>
  <c r="DR55" i="26"/>
  <c r="EP35" i="26"/>
  <c r="ED45" i="26"/>
  <c r="ED61" i="26" s="1"/>
  <c r="EF45" i="26"/>
  <c r="EF61" i="26" s="1"/>
  <c r="ER35" i="26"/>
  <c r="EQ45" i="26"/>
  <c r="EE53" i="26"/>
  <c r="EE62" i="26" s="1"/>
  <c r="EB45" i="26"/>
  <c r="EB61" i="26" s="1"/>
  <c r="EN35" i="26"/>
  <c r="AL31" i="27"/>
  <c r="JN35" i="26"/>
  <c r="JP30" i="26"/>
  <c r="AR31" i="27"/>
  <c r="CB31" i="27" s="1"/>
  <c r="CI31" i="27" s="1"/>
  <c r="AL29" i="27"/>
  <c r="AM29" i="27"/>
  <c r="FC22" i="26"/>
  <c r="FU21" i="26" s="1"/>
  <c r="FC37" i="26"/>
  <c r="GB21" i="26" s="1"/>
  <c r="EY37" i="26"/>
  <c r="FX21" i="26" s="1"/>
  <c r="HK49" i="26"/>
  <c r="HS52" i="26" s="1"/>
  <c r="HM49" i="26"/>
  <c r="HU52" i="26" s="1"/>
  <c r="HM168" i="26"/>
  <c r="HK168" i="26"/>
  <c r="HO31" i="26"/>
  <c r="FC20" i="26" s="1"/>
  <c r="FU18" i="26" s="1"/>
  <c r="HM31" i="26"/>
  <c r="HD42" i="26"/>
  <c r="HO40" i="26"/>
  <c r="H58" i="45" s="1"/>
  <c r="H120" i="45" s="1"/>
  <c r="HB42" i="26"/>
  <c r="HM40" i="26"/>
  <c r="F58" i="45" s="1"/>
  <c r="F120" i="45" s="1"/>
  <c r="HK40" i="26"/>
  <c r="D58" i="45" s="1"/>
  <c r="D120" i="45" s="1"/>
  <c r="IE33" i="26"/>
  <c r="IE32" i="26"/>
  <c r="HC156" i="26"/>
  <c r="HC158" i="26" s="1"/>
  <c r="HC160" i="26" s="1"/>
  <c r="HC332" i="26" s="1"/>
  <c r="HD156" i="26"/>
  <c r="HB156" i="26"/>
  <c r="HK156" i="26" s="1"/>
  <c r="EN38" i="26"/>
  <c r="HC126" i="26"/>
  <c r="GY126" i="26"/>
  <c r="CI41" i="27"/>
  <c r="GZ126" i="26"/>
  <c r="IC31" i="26"/>
  <c r="HA169" i="26"/>
  <c r="HA45" i="26" s="1"/>
  <c r="HB169" i="26"/>
  <c r="HB45" i="26" s="1"/>
  <c r="GX169" i="26"/>
  <c r="GX45" i="26" s="1"/>
  <c r="HD169" i="26"/>
  <c r="HD45" i="26" s="1"/>
  <c r="IC32" i="26"/>
  <c r="IF32" i="26"/>
  <c r="AQ31" i="27"/>
  <c r="AN29" i="27"/>
  <c r="IG32" i="26"/>
  <c r="BB64" i="27"/>
  <c r="CT66" i="27"/>
  <c r="CT70" i="27" s="1"/>
  <c r="CN68" i="27"/>
  <c r="CN72" i="27" s="1"/>
  <c r="CN70" i="27"/>
  <c r="CT67" i="27"/>
  <c r="CT71" i="27" s="1"/>
  <c r="CG70" i="27"/>
  <c r="CG68" i="27"/>
  <c r="CG72" i="27" s="1"/>
  <c r="CU70" i="27"/>
  <c r="CU68" i="27"/>
  <c r="CU72" i="27" s="1"/>
  <c r="JH38" i="26"/>
  <c r="JO38" i="26" s="1"/>
  <c r="JI38" i="26"/>
  <c r="JP38" i="26" s="1"/>
  <c r="JI31" i="26"/>
  <c r="JP31" i="26" s="1"/>
  <c r="F59" i="45" l="1"/>
  <c r="H59" i="45"/>
  <c r="D59" i="45"/>
  <c r="G22" i="45"/>
  <c r="IF37" i="26"/>
  <c r="G31" i="45"/>
  <c r="G63" i="45" s="1"/>
  <c r="G32" i="45"/>
  <c r="G126" i="45" s="1"/>
  <c r="F31" i="45"/>
  <c r="F63" i="45" s="1"/>
  <c r="F32" i="45"/>
  <c r="F126" i="45" s="1"/>
  <c r="E31" i="45"/>
  <c r="E63" i="45" s="1"/>
  <c r="E32" i="45"/>
  <c r="E126" i="45" s="1"/>
  <c r="D31" i="45"/>
  <c r="D63" i="45" s="1"/>
  <c r="D32" i="45"/>
  <c r="D126" i="45" s="1"/>
  <c r="HK160" i="26"/>
  <c r="HK162" i="26" s="1"/>
  <c r="D24" i="45" s="1"/>
  <c r="D125" i="45" s="1"/>
  <c r="H31" i="45"/>
  <c r="H63" i="45" s="1"/>
  <c r="H32" i="45"/>
  <c r="H126" i="45" s="1"/>
  <c r="FR24" i="26"/>
  <c r="HN149" i="26"/>
  <c r="HL149" i="26"/>
  <c r="HK149" i="26"/>
  <c r="HM149" i="26"/>
  <c r="HO149" i="26"/>
  <c r="FK23" i="26"/>
  <c r="GN21" i="26"/>
  <c r="HK42" i="26"/>
  <c r="IC42" i="26" s="1"/>
  <c r="GR21" i="26"/>
  <c r="GK21" i="26"/>
  <c r="GJ24" i="26"/>
  <c r="GR22" i="26"/>
  <c r="GI19" i="26"/>
  <c r="HO42" i="26"/>
  <c r="HM169" i="26"/>
  <c r="HM45" i="26" s="1"/>
  <c r="IE45" i="26" s="1"/>
  <c r="F69" i="45"/>
  <c r="F70" i="45" s="1"/>
  <c r="F122" i="45" s="1"/>
  <c r="GF24" i="26"/>
  <c r="GK19" i="26"/>
  <c r="GK18" i="26"/>
  <c r="HK169" i="26"/>
  <c r="HK45" i="26" s="1"/>
  <c r="D69" i="45"/>
  <c r="D70" i="45" s="1"/>
  <c r="D122" i="45" s="1"/>
  <c r="HN347" i="26"/>
  <c r="HN349" i="26"/>
  <c r="HB345" i="26"/>
  <c r="HA345" i="26"/>
  <c r="HA331" i="26"/>
  <c r="HA337" i="26" s="1"/>
  <c r="HA338" i="26"/>
  <c r="HN348" i="26"/>
  <c r="HC331" i="26"/>
  <c r="HC337" i="26" s="1"/>
  <c r="HC338" i="26"/>
  <c r="FL36" i="26"/>
  <c r="FL37" i="26"/>
  <c r="FL21" i="26"/>
  <c r="FL19" i="26"/>
  <c r="FL20" i="26"/>
  <c r="FH36" i="26"/>
  <c r="HB327" i="26"/>
  <c r="HB344" i="26" s="1"/>
  <c r="HK328" i="26"/>
  <c r="HA327" i="26"/>
  <c r="HA344" i="26" s="1"/>
  <c r="HO328" i="26"/>
  <c r="HM328" i="26"/>
  <c r="CP65" i="26"/>
  <c r="ER60" i="26"/>
  <c r="EE65" i="26"/>
  <c r="EP60" i="26"/>
  <c r="EN37" i="26"/>
  <c r="EN63" i="26" s="1"/>
  <c r="EB63" i="26"/>
  <c r="EQ61" i="26"/>
  <c r="EP37" i="26"/>
  <c r="EP63" i="26" s="1"/>
  <c r="ED63" i="26"/>
  <c r="EN60" i="26"/>
  <c r="ER37" i="26"/>
  <c r="ER63" i="26" s="1"/>
  <c r="EF63" i="26"/>
  <c r="EP42" i="26"/>
  <c r="EP66" i="26" s="1"/>
  <c r="HU51" i="26"/>
  <c r="ER42" i="26"/>
  <c r="ER66" i="26" s="1"/>
  <c r="HW51" i="26"/>
  <c r="EN42" i="26"/>
  <c r="EN66" i="26" s="1"/>
  <c r="HS51" i="26"/>
  <c r="HO160" i="26"/>
  <c r="HO162" i="26" s="1"/>
  <c r="DQ56" i="26"/>
  <c r="CP55" i="26"/>
  <c r="CP64" i="26" s="1"/>
  <c r="FA29" i="26"/>
  <c r="HM42" i="26"/>
  <c r="IE42" i="26" s="1"/>
  <c r="HK51" i="26"/>
  <c r="IC51" i="26" s="1"/>
  <c r="EY38" i="26"/>
  <c r="IG42" i="26"/>
  <c r="FC29" i="26"/>
  <c r="FU29" i="26" s="1"/>
  <c r="IE31" i="26"/>
  <c r="FA20" i="26"/>
  <c r="IE49" i="26"/>
  <c r="FA22" i="26"/>
  <c r="IE75" i="26"/>
  <c r="FA37" i="26"/>
  <c r="EY29" i="26"/>
  <c r="FQ29" i="26" s="1"/>
  <c r="EY22" i="26"/>
  <c r="FQ21" i="26" s="1"/>
  <c r="IE77" i="26"/>
  <c r="FA38" i="26"/>
  <c r="DQ53" i="26"/>
  <c r="BT45" i="27"/>
  <c r="BT49" i="27"/>
  <c r="BP45" i="27"/>
  <c r="BP49" i="27"/>
  <c r="BS49" i="27"/>
  <c r="BS45" i="27"/>
  <c r="BU45" i="27"/>
  <c r="BU49" i="27"/>
  <c r="BR49" i="27"/>
  <c r="BR45" i="27"/>
  <c r="BQ45" i="27"/>
  <c r="BQ49" i="27"/>
  <c r="BO45" i="27"/>
  <c r="BO49" i="27"/>
  <c r="CI49" i="27"/>
  <c r="CI45" i="27"/>
  <c r="HO51" i="26"/>
  <c r="CH49" i="27"/>
  <c r="CH45" i="27"/>
  <c r="HM51" i="26"/>
  <c r="JN62" i="26"/>
  <c r="JN61" i="26"/>
  <c r="JN63" i="26"/>
  <c r="JN60" i="26"/>
  <c r="ER45" i="26"/>
  <c r="EF53" i="26"/>
  <c r="EF62" i="26" s="1"/>
  <c r="EB53" i="26"/>
  <c r="EB62" i="26" s="1"/>
  <c r="EN45" i="26"/>
  <c r="EN61" i="26" s="1"/>
  <c r="EQ53" i="26"/>
  <c r="EQ62" i="26" s="1"/>
  <c r="EE55" i="26"/>
  <c r="EE56" i="26"/>
  <c r="EQ56" i="26" s="1"/>
  <c r="ED53" i="26"/>
  <c r="ED62" i="26" s="1"/>
  <c r="EP45" i="26"/>
  <c r="EP61" i="26" s="1"/>
  <c r="CO57" i="26"/>
  <c r="DP57" i="26" s="1"/>
  <c r="DP55" i="26"/>
  <c r="AR29" i="27"/>
  <c r="CB29" i="27" s="1"/>
  <c r="CB66" i="27" s="1"/>
  <c r="CB70" i="27" s="1"/>
  <c r="IG75" i="26"/>
  <c r="IC75" i="26"/>
  <c r="IC49" i="26"/>
  <c r="IG77" i="26"/>
  <c r="IE40" i="26"/>
  <c r="HC162" i="26"/>
  <c r="HC37" i="26" s="1"/>
  <c r="HA162" i="26"/>
  <c r="HA37" i="26" s="1"/>
  <c r="HB158" i="26"/>
  <c r="HD158" i="26"/>
  <c r="HD160" i="26" s="1"/>
  <c r="HD332" i="26" s="1"/>
  <c r="HC140" i="26"/>
  <c r="HB126" i="26"/>
  <c r="GX126" i="26"/>
  <c r="HD126" i="26"/>
  <c r="IF31" i="26"/>
  <c r="IF42" i="26"/>
  <c r="IG45" i="26"/>
  <c r="IG31" i="26"/>
  <c r="IF45" i="26"/>
  <c r="AP31" i="27"/>
  <c r="CA31" i="27" s="1"/>
  <c r="HA126" i="26"/>
  <c r="AO31" i="27"/>
  <c r="IG35" i="26"/>
  <c r="IC35" i="26"/>
  <c r="IF35" i="26"/>
  <c r="AN31" i="27"/>
  <c r="BB31" i="27" s="1"/>
  <c r="AO29" i="27"/>
  <c r="AQ29" i="27"/>
  <c r="BE29" i="27" s="1"/>
  <c r="BB29" i="27"/>
  <c r="AN53" i="27"/>
  <c r="AL53" i="27"/>
  <c r="AZ29" i="27"/>
  <c r="AM54" i="27"/>
  <c r="BA31" i="27"/>
  <c r="AL54" i="27"/>
  <c r="AZ31" i="27"/>
  <c r="AR54" i="27"/>
  <c r="BF31" i="27"/>
  <c r="AR53" i="27"/>
  <c r="AM53" i="27"/>
  <c r="BA29" i="27"/>
  <c r="AO53" i="27"/>
  <c r="AQ54" i="27"/>
  <c r="BE31" i="27"/>
  <c r="AQ53" i="27"/>
  <c r="AN54" i="27"/>
  <c r="CT68" i="27"/>
  <c r="CT72" i="27" s="1"/>
  <c r="JH40" i="26"/>
  <c r="JO40" i="26" s="1"/>
  <c r="JH31" i="26"/>
  <c r="JO31" i="26" s="1"/>
  <c r="D22" i="45" l="1"/>
  <c r="BP29" i="27"/>
  <c r="HA348" i="26"/>
  <c r="GH24" i="26"/>
  <c r="HO37" i="26"/>
  <c r="FC24" i="26" s="1"/>
  <c r="H24" i="45"/>
  <c r="H125" i="45" s="1"/>
  <c r="GG29" i="26"/>
  <c r="GK29" i="26"/>
  <c r="GG21" i="26"/>
  <c r="HC348" i="26"/>
  <c r="HA349" i="26"/>
  <c r="HK332" i="26"/>
  <c r="HK345" i="26"/>
  <c r="HA347" i="26"/>
  <c r="HM345" i="26"/>
  <c r="HB349" i="26"/>
  <c r="HD331" i="26"/>
  <c r="HD348" i="26" s="1"/>
  <c r="HO332" i="26"/>
  <c r="HD338" i="26"/>
  <c r="HO345" i="26"/>
  <c r="HB347" i="26"/>
  <c r="FJ36" i="26"/>
  <c r="FZ21" i="26"/>
  <c r="FJ19" i="26"/>
  <c r="FS18" i="26"/>
  <c r="FH37" i="26"/>
  <c r="FX22" i="26"/>
  <c r="FJ21" i="26"/>
  <c r="FS21" i="26"/>
  <c r="FJ37" i="26"/>
  <c r="FZ22" i="26"/>
  <c r="FJ28" i="26"/>
  <c r="FS29" i="26"/>
  <c r="FH21" i="26"/>
  <c r="FH28" i="26"/>
  <c r="FL28" i="26"/>
  <c r="HM327" i="26"/>
  <c r="HM344" i="26" s="1"/>
  <c r="HO327" i="26"/>
  <c r="HO344" i="26" s="1"/>
  <c r="HK327" i="26"/>
  <c r="HK344" i="26" s="1"/>
  <c r="ED65" i="26"/>
  <c r="HW54" i="26"/>
  <c r="HU54" i="26"/>
  <c r="EQ55" i="26"/>
  <c r="EQ64" i="26" s="1"/>
  <c r="EE64" i="26"/>
  <c r="EF65" i="26"/>
  <c r="ER61" i="26"/>
  <c r="EB65" i="26"/>
  <c r="EQ65" i="26"/>
  <c r="EY23" i="26"/>
  <c r="HS54" i="26"/>
  <c r="HN140" i="26"/>
  <c r="HA140" i="26"/>
  <c r="HA188" i="26" s="1"/>
  <c r="HK140" i="26"/>
  <c r="IC77" i="26"/>
  <c r="CP57" i="26"/>
  <c r="DQ57" i="26" s="1"/>
  <c r="IE51" i="26"/>
  <c r="FA23" i="26"/>
  <c r="IG51" i="26"/>
  <c r="FC23" i="26"/>
  <c r="DQ55" i="26"/>
  <c r="EE57" i="26"/>
  <c r="EQ57" i="26" s="1"/>
  <c r="BP31" i="27"/>
  <c r="BT31" i="27"/>
  <c r="BU31" i="27"/>
  <c r="BO29" i="27"/>
  <c r="BO31" i="27"/>
  <c r="BF29" i="27"/>
  <c r="EN53" i="26"/>
  <c r="EN62" i="26" s="1"/>
  <c r="EB55" i="26"/>
  <c r="EB56" i="26"/>
  <c r="EN56" i="26" s="1"/>
  <c r="ER53" i="26"/>
  <c r="ER62" i="26" s="1"/>
  <c r="EF55" i="26"/>
  <c r="EF56" i="26"/>
  <c r="ER56" i="26" s="1"/>
  <c r="ED55" i="26"/>
  <c r="ED56" i="26"/>
  <c r="EP56" i="26" s="1"/>
  <c r="EP53" i="26"/>
  <c r="EP62" i="26" s="1"/>
  <c r="CI29" i="27"/>
  <c r="CI67" i="27" s="1"/>
  <c r="CI71" i="27" s="1"/>
  <c r="CB67" i="27"/>
  <c r="CB71" i="27" s="1"/>
  <c r="AP29" i="27"/>
  <c r="BD29" i="27" s="1"/>
  <c r="HD140" i="26"/>
  <c r="HD188" i="26" s="1"/>
  <c r="HO140" i="26"/>
  <c r="HB160" i="26"/>
  <c r="HB332" i="26" s="1"/>
  <c r="HB140" i="26"/>
  <c r="HM140" i="26" s="1"/>
  <c r="HC188" i="26"/>
  <c r="HC189" i="26" s="1"/>
  <c r="HC141" i="26"/>
  <c r="HC38" i="26" s="1"/>
  <c r="HD162" i="26"/>
  <c r="HD37" i="26" s="1"/>
  <c r="GZ189" i="26"/>
  <c r="GZ44" i="26" s="1"/>
  <c r="HF140" i="26"/>
  <c r="HL140" i="26" s="1"/>
  <c r="HG140" i="26"/>
  <c r="HH140" i="26"/>
  <c r="HE140" i="26"/>
  <c r="AP53" i="27"/>
  <c r="IC40" i="26"/>
  <c r="IG40" i="26"/>
  <c r="GY189" i="26"/>
  <c r="IF40" i="26"/>
  <c r="IC45" i="26"/>
  <c r="AP54" i="27"/>
  <c r="AO54" i="27"/>
  <c r="IG49" i="26"/>
  <c r="BD31" i="27"/>
  <c r="BC29" i="27"/>
  <c r="BQ29" i="27" s="1"/>
  <c r="BC31" i="27"/>
  <c r="BQ31" i="27" s="1"/>
  <c r="AM67" i="27"/>
  <c r="AM71" i="27" s="1"/>
  <c r="AL67" i="27"/>
  <c r="AL71" i="27" s="1"/>
  <c r="AQ66" i="27"/>
  <c r="AQ70" i="27" s="1"/>
  <c r="AL66" i="27"/>
  <c r="AL70" i="27" s="1"/>
  <c r="AO67" i="27"/>
  <c r="AO71" i="27" s="1"/>
  <c r="AO66" i="27"/>
  <c r="AO70" i="27" s="1"/>
  <c r="AQ67" i="27"/>
  <c r="AQ71" i="27" s="1"/>
  <c r="JI56" i="26"/>
  <c r="JP56" i="26" s="1"/>
  <c r="AM66" i="27"/>
  <c r="AM70" i="27" s="1"/>
  <c r="B83" i="16"/>
  <c r="K54" i="1"/>
  <c r="J54" i="1"/>
  <c r="K63" i="1"/>
  <c r="D63" i="1" s="1"/>
  <c r="H22" i="45" l="1"/>
  <c r="IG37" i="26"/>
  <c r="HO150" i="26"/>
  <c r="HO188" i="26"/>
  <c r="HO189" i="26" s="1"/>
  <c r="HM150" i="26"/>
  <c r="HM188" i="26"/>
  <c r="HM189" i="26" s="1"/>
  <c r="HK150" i="26"/>
  <c r="HK188" i="26"/>
  <c r="HK189" i="26" s="1"/>
  <c r="HL150" i="26"/>
  <c r="HL188" i="26"/>
  <c r="HL189" i="26" s="1"/>
  <c r="HN150" i="26"/>
  <c r="HN188" i="26"/>
  <c r="HN189" i="26" s="1"/>
  <c r="HN44" i="26" s="1"/>
  <c r="IF44" i="26" s="1"/>
  <c r="HK141" i="26"/>
  <c r="HN141" i="26"/>
  <c r="HO141" i="26"/>
  <c r="GI29" i="26"/>
  <c r="GP21" i="26"/>
  <c r="GP22" i="26"/>
  <c r="GI21" i="26"/>
  <c r="GI18" i="26"/>
  <c r="G64" i="45"/>
  <c r="G124" i="45" s="1"/>
  <c r="GN22" i="26"/>
  <c r="HO338" i="26"/>
  <c r="HB331" i="26"/>
  <c r="HB348" i="26" s="1"/>
  <c r="HB338" i="26"/>
  <c r="HM332" i="26"/>
  <c r="HM349" i="26"/>
  <c r="HK349" i="26"/>
  <c r="HK347" i="26"/>
  <c r="HO331" i="26"/>
  <c r="HO337" i="26" s="1"/>
  <c r="HD337" i="26"/>
  <c r="HO349" i="26"/>
  <c r="HK338" i="26"/>
  <c r="HK331" i="26"/>
  <c r="HK337" i="26" s="1"/>
  <c r="HM347" i="26"/>
  <c r="HO347" i="26"/>
  <c r="FL22" i="26"/>
  <c r="FU22" i="26"/>
  <c r="FH22" i="26"/>
  <c r="FQ22" i="26"/>
  <c r="FJ22" i="26"/>
  <c r="FS22" i="26"/>
  <c r="FL23" i="26"/>
  <c r="FU24" i="26"/>
  <c r="ER55" i="26"/>
  <c r="ER64" i="26" s="1"/>
  <c r="EF64" i="26"/>
  <c r="EP55" i="26"/>
  <c r="EP64" i="26" s="1"/>
  <c r="ED64" i="26"/>
  <c r="EP65" i="26"/>
  <c r="ER65" i="26"/>
  <c r="EN55" i="26"/>
  <c r="EN64" i="26" s="1"/>
  <c r="EB64" i="26"/>
  <c r="EN65" i="26"/>
  <c r="HA141" i="26"/>
  <c r="HA38" i="26" s="1"/>
  <c r="BR29" i="27"/>
  <c r="BR31" i="27"/>
  <c r="BS29" i="27"/>
  <c r="BT29" i="27"/>
  <c r="BU29" i="27"/>
  <c r="BS31" i="27"/>
  <c r="CA29" i="27"/>
  <c r="CA67" i="27" s="1"/>
  <c r="CA71" i="27" s="1"/>
  <c r="AP66" i="27"/>
  <c r="AP70" i="27" s="1"/>
  <c r="CB68" i="27"/>
  <c r="CB72" i="27" s="1"/>
  <c r="CI66" i="27"/>
  <c r="CI68" i="27" s="1"/>
  <c r="CI72" i="27" s="1"/>
  <c r="ED57" i="26"/>
  <c r="EP57" i="26" s="1"/>
  <c r="AP67" i="27"/>
  <c r="AP71" i="27" s="1"/>
  <c r="EB57" i="26"/>
  <c r="EN57" i="26" s="1"/>
  <c r="EF57" i="26"/>
  <c r="ER57" i="26" s="1"/>
  <c r="HB162" i="26"/>
  <c r="HD141" i="26"/>
  <c r="HD38" i="26" s="1"/>
  <c r="HB188" i="26"/>
  <c r="HB141" i="26"/>
  <c r="HM141" i="26" s="1"/>
  <c r="HD189" i="26"/>
  <c r="HO244" i="26" s="1"/>
  <c r="H64" i="45"/>
  <c r="H124" i="45" s="1"/>
  <c r="HE188" i="26"/>
  <c r="HE189" i="26" s="1"/>
  <c r="HE44" i="26" s="1"/>
  <c r="HE141" i="26"/>
  <c r="HE38" i="26" s="1"/>
  <c r="HH188" i="26"/>
  <c r="HH189" i="26" s="1"/>
  <c r="HH44" i="26" s="1"/>
  <c r="HH141" i="26"/>
  <c r="HH38" i="26" s="1"/>
  <c r="HG188" i="26"/>
  <c r="HG189" i="26" s="1"/>
  <c r="HG44" i="26" s="1"/>
  <c r="HG141" i="26"/>
  <c r="HG38" i="26" s="1"/>
  <c r="HF188" i="26"/>
  <c r="HF141" i="26"/>
  <c r="HL141" i="26" s="1"/>
  <c r="HA189" i="26"/>
  <c r="HA44" i="26" s="1"/>
  <c r="HC44" i="26"/>
  <c r="GY44" i="26"/>
  <c r="AZ67" i="27"/>
  <c r="AZ71" i="27" s="1"/>
  <c r="BA66" i="27"/>
  <c r="BA70" i="27" s="1"/>
  <c r="BC66" i="27"/>
  <c r="BC70" i="27" s="1"/>
  <c r="BD67" i="27"/>
  <c r="BD71" i="27" s="1"/>
  <c r="BD66" i="27"/>
  <c r="BE67" i="27"/>
  <c r="BE71" i="27" s="1"/>
  <c r="BE66" i="27"/>
  <c r="BA67" i="27"/>
  <c r="BA71" i="27" s="1"/>
  <c r="AZ66" i="27"/>
  <c r="BC67" i="27"/>
  <c r="AQ68" i="27"/>
  <c r="AQ72" i="27" s="1"/>
  <c r="CH31" i="27"/>
  <c r="AM68" i="27"/>
  <c r="AM72" i="27" s="1"/>
  <c r="AL68" i="27"/>
  <c r="AL72" i="27" s="1"/>
  <c r="AO68" i="27"/>
  <c r="AO72" i="27" s="1"/>
  <c r="D71" i="16"/>
  <c r="E71" i="16"/>
  <c r="D72" i="16"/>
  <c r="E72" i="16"/>
  <c r="HO44" i="26" l="1"/>
  <c r="IG44" i="26" s="1"/>
  <c r="HN38" i="26"/>
  <c r="IF38" i="26" s="1"/>
  <c r="HO38" i="26"/>
  <c r="IG38" i="26" s="1"/>
  <c r="GK22" i="26"/>
  <c r="F64" i="45"/>
  <c r="F124" i="45" s="1"/>
  <c r="D64" i="45"/>
  <c r="D124" i="45" s="1"/>
  <c r="E64" i="45"/>
  <c r="E124" i="45" s="1"/>
  <c r="C64" i="45"/>
  <c r="C124" i="45" s="1"/>
  <c r="GK24" i="26"/>
  <c r="GG22" i="26"/>
  <c r="GI22" i="26"/>
  <c r="HK348" i="26"/>
  <c r="HM338" i="26"/>
  <c r="HM331" i="26"/>
  <c r="HM337" i="26" s="1"/>
  <c r="HB337" i="26"/>
  <c r="HO348" i="26"/>
  <c r="HB37" i="26"/>
  <c r="HM162" i="26"/>
  <c r="CH29" i="27"/>
  <c r="CH67" i="27" s="1"/>
  <c r="CH71" i="27" s="1"/>
  <c r="CI70" i="27"/>
  <c r="CA66" i="27"/>
  <c r="CA68" i="27" s="1"/>
  <c r="CA72" i="27" s="1"/>
  <c r="AP68" i="27"/>
  <c r="AP72" i="27" s="1"/>
  <c r="HK37" i="26"/>
  <c r="HB189" i="26"/>
  <c r="HF38" i="26"/>
  <c r="HB38" i="26"/>
  <c r="HD44" i="26"/>
  <c r="HF189" i="26"/>
  <c r="BA68" i="27"/>
  <c r="BA72" i="27" s="1"/>
  <c r="AZ68" i="27"/>
  <c r="AZ72" i="27" s="1"/>
  <c r="AZ70" i="27"/>
  <c r="BE68" i="27"/>
  <c r="BE72" i="27" s="1"/>
  <c r="BE70" i="27"/>
  <c r="BD68" i="27"/>
  <c r="BD72" i="27" s="1"/>
  <c r="BD70" i="27"/>
  <c r="BC68" i="27"/>
  <c r="BC72" i="27" s="1"/>
  <c r="BC71" i="27"/>
  <c r="C71" i="1"/>
  <c r="C80" i="1" s="1"/>
  <c r="HM244" i="26" l="1"/>
  <c r="HK244" i="26"/>
  <c r="HL244" i="26"/>
  <c r="HJ244" i="26"/>
  <c r="HN244" i="26"/>
  <c r="HM37" i="26"/>
  <c r="FA24" i="26" s="1"/>
  <c r="F24" i="45"/>
  <c r="F125" i="45" s="1"/>
  <c r="HM348" i="26"/>
  <c r="EY24" i="26"/>
  <c r="CH66" i="27"/>
  <c r="CH68" i="27" s="1"/>
  <c r="CH72" i="27" s="1"/>
  <c r="HB44" i="26"/>
  <c r="CA70" i="27"/>
  <c r="IC37" i="26"/>
  <c r="HM38" i="26"/>
  <c r="IE38" i="26" s="1"/>
  <c r="HK38" i="26"/>
  <c r="IC38" i="26" s="1"/>
  <c r="HL38" i="26"/>
  <c r="ID38" i="26" s="1"/>
  <c r="HJ38" i="26"/>
  <c r="IB38" i="26" s="1"/>
  <c r="HK44" i="26"/>
  <c r="IC44" i="26" s="1"/>
  <c r="HM44" i="26"/>
  <c r="IE44" i="26" s="1"/>
  <c r="HF44" i="26"/>
  <c r="C73" i="1"/>
  <c r="D84" i="16"/>
  <c r="D83" i="16"/>
  <c r="F22" i="45" l="1"/>
  <c r="IE37" i="26"/>
  <c r="FH23" i="26"/>
  <c r="FQ24" i="26"/>
  <c r="FJ23" i="26"/>
  <c r="FS24" i="26"/>
  <c r="CH70" i="27"/>
  <c r="HL44" i="26"/>
  <c r="ID44" i="26" s="1"/>
  <c r="IB44" i="26"/>
  <c r="AN67" i="27"/>
  <c r="AN71" i="27" s="1"/>
  <c r="AN66" i="27"/>
  <c r="AN70" i="27" s="1"/>
  <c r="B41" i="5"/>
  <c r="B41" i="28"/>
  <c r="GG24" i="26" l="1"/>
  <c r="GI24" i="26"/>
  <c r="BB67" i="27"/>
  <c r="BB71" i="27" s="1"/>
  <c r="BB66" i="27"/>
  <c r="BB70" i="27" s="1"/>
  <c r="AN68" i="27"/>
  <c r="AN72" i="27" s="1"/>
  <c r="E83" i="16"/>
  <c r="BB68" i="27" l="1"/>
  <c r="BB72" i="27" s="1"/>
  <c r="E64" i="16"/>
  <c r="D64" i="16"/>
  <c r="C64" i="16"/>
  <c r="B64" i="16"/>
  <c r="C81" i="16"/>
  <c r="C68" i="16" s="1"/>
  <c r="B81" i="16"/>
  <c r="B68" i="16" s="1"/>
  <c r="E13" i="21"/>
  <c r="D13" i="21"/>
  <c r="C13" i="21"/>
  <c r="B80" i="16"/>
  <c r="B67" i="16" s="1"/>
  <c r="C56" i="16"/>
  <c r="B56" i="16"/>
  <c r="C53" i="16"/>
  <c r="C52" i="16"/>
  <c r="C50" i="16"/>
  <c r="C49" i="16"/>
  <c r="B53" i="16"/>
  <c r="B52" i="16"/>
  <c r="B49" i="16"/>
  <c r="B50" i="16"/>
  <c r="E63" i="16" l="1"/>
  <c r="E81" i="16"/>
  <c r="E68" i="16" s="1"/>
  <c r="D63" i="16"/>
  <c r="D81" i="16"/>
  <c r="D68" i="16" s="1"/>
  <c r="B14" i="21"/>
  <c r="B63" i="16"/>
  <c r="C14" i="21"/>
  <c r="C63" i="16"/>
  <c r="B13" i="21"/>
  <c r="B62" i="16"/>
  <c r="D14" i="21"/>
  <c r="E14" i="21"/>
  <c r="J61" i="1"/>
  <c r="C61" i="1" s="1"/>
  <c r="C60" i="1" s="1"/>
  <c r="C89" i="1"/>
  <c r="K61" i="1"/>
  <c r="D61" i="1" s="1"/>
  <c r="D60" i="1" s="1"/>
  <c r="C90" i="1" l="1"/>
  <c r="C85" i="16" l="1"/>
  <c r="E85" i="16"/>
  <c r="B90" i="16" l="1"/>
  <c r="D90" i="16"/>
  <c r="D57" i="16"/>
  <c r="E57" i="16"/>
  <c r="E50" i="16"/>
  <c r="A41" i="2" l="1"/>
  <c r="D34" i="20"/>
  <c r="E34" i="20" s="1"/>
  <c r="D31" i="20"/>
  <c r="E31" i="20" s="1"/>
  <c r="A33" i="20"/>
  <c r="D32" i="20" l="1"/>
  <c r="E32" i="20" s="1"/>
  <c r="D33" i="20"/>
  <c r="D30" i="20" l="1"/>
  <c r="F5" i="20"/>
  <c r="A35" i="20" l="1"/>
  <c r="A26" i="20"/>
  <c r="A69" i="2" l="1"/>
  <c r="A68" i="2"/>
  <c r="A67" i="2"/>
  <c r="A66" i="2"/>
  <c r="A65" i="2"/>
  <c r="A64" i="2"/>
  <c r="A63" i="2"/>
  <c r="A62" i="2"/>
  <c r="A61" i="2"/>
  <c r="A59" i="2"/>
  <c r="A57" i="2"/>
  <c r="A56" i="2"/>
  <c r="A54" i="2"/>
  <c r="A53" i="2"/>
  <c r="A52" i="2"/>
  <c r="A51" i="2"/>
  <c r="A50" i="2"/>
  <c r="A49" i="2"/>
  <c r="A48" i="2"/>
  <c r="A47" i="2"/>
  <c r="A46" i="2"/>
  <c r="A43" i="2"/>
  <c r="A42" i="2"/>
  <c r="A52" i="1"/>
  <c r="E17" i="11" l="1"/>
  <c r="D17" i="11"/>
  <c r="D20" i="11" l="1"/>
  <c r="D10" i="11"/>
  <c r="I17" i="11"/>
  <c r="J17" i="11"/>
  <c r="C6" i="11"/>
  <c r="B7" i="11"/>
  <c r="C7" i="11"/>
  <c r="J10" i="11"/>
  <c r="I10" i="11"/>
  <c r="P17" i="11" l="1"/>
  <c r="V17" i="11"/>
  <c r="U17" i="11"/>
  <c r="T17" i="11"/>
  <c r="S17" i="11"/>
  <c r="R17" i="11"/>
  <c r="Q17" i="11"/>
  <c r="O17" i="11"/>
  <c r="N17" i="11"/>
  <c r="M17" i="11"/>
  <c r="E20" i="11"/>
  <c r="K17" i="11" l="1"/>
  <c r="F17" i="11" l="1"/>
  <c r="B9" i="11"/>
  <c r="B8" i="11"/>
  <c r="B6" i="11"/>
  <c r="B5" i="11"/>
  <c r="B4" i="11"/>
  <c r="C9" i="11"/>
  <c r="C8" i="11"/>
  <c r="C5" i="11"/>
  <c r="C4" i="11"/>
  <c r="B17" i="11" l="1"/>
  <c r="C17" i="11"/>
  <c r="E10" i="11"/>
  <c r="L17" i="11"/>
  <c r="L10" i="11"/>
  <c r="K10" i="11"/>
  <c r="C10" i="11" l="1"/>
  <c r="B10" i="11"/>
  <c r="N10" i="11" l="1"/>
  <c r="M10" i="11"/>
  <c r="P10" i="11" l="1"/>
  <c r="O10" i="11"/>
  <c r="F10" i="11" l="1"/>
  <c r="R10" i="11" l="1"/>
  <c r="Q10" i="11"/>
  <c r="T4" i="11"/>
  <c r="T10" i="11" s="1"/>
  <c r="S10" i="11"/>
  <c r="V10" i="11" l="1"/>
  <c r="U4" i="11"/>
  <c r="U10" i="11" s="1"/>
  <c r="B7" i="12" l="1"/>
  <c r="G3" i="2" l="1"/>
  <c r="J5" i="1"/>
  <c r="BQ12" i="4" l="1"/>
  <c r="BP12" i="4"/>
  <c r="G5" i="20" l="1"/>
  <c r="C5" i="20" s="1"/>
  <c r="G9" i="20" l="1"/>
  <c r="C9" i="20" s="1"/>
  <c r="I5" i="20"/>
  <c r="D5" i="20" s="1"/>
  <c r="D23" i="20"/>
  <c r="D28" i="20" l="1"/>
  <c r="G11" i="20"/>
  <c r="C11" i="20" s="1"/>
  <c r="D29" i="20" l="1"/>
  <c r="BQ43" i="4"/>
  <c r="BQ42" i="4" l="1"/>
  <c r="BP42" i="4"/>
  <c r="D71" i="1" l="1"/>
  <c r="D80" i="1" l="1"/>
  <c r="D73" i="1"/>
  <c r="C41" i="5" l="1"/>
  <c r="C41" i="28"/>
  <c r="BQ36" i="4"/>
  <c r="D89" i="1"/>
  <c r="D54" i="1"/>
  <c r="BQ21" i="4"/>
  <c r="E30" i="20"/>
  <c r="D56" i="1"/>
  <c r="BQ22" i="4"/>
  <c r="E29" i="20"/>
  <c r="D86" i="16"/>
  <c r="BQ38" i="4"/>
  <c r="BQ25" i="4"/>
  <c r="E33" i="20"/>
  <c r="BQ20" i="4"/>
  <c r="D58" i="1"/>
  <c r="BQ26" i="4"/>
  <c r="E86" i="16"/>
  <c r="D89" i="16"/>
  <c r="E37" i="16"/>
  <c r="BQ27" i="4"/>
  <c r="BQ39" i="4"/>
  <c r="D66" i="1"/>
  <c r="BQ29" i="4"/>
  <c r="BQ17" i="4"/>
  <c r="BQ18" i="4"/>
  <c r="E25" i="20"/>
  <c r="BQ31" i="4"/>
  <c r="D35" i="16"/>
  <c r="D87" i="1"/>
  <c r="BQ30" i="4"/>
  <c r="C35" i="16"/>
  <c r="D53" i="1"/>
  <c r="D37" i="16"/>
  <c r="B86" i="16"/>
  <c r="D77" i="1"/>
  <c r="BQ13" i="4"/>
  <c r="BQ32" i="4"/>
  <c r="C39" i="2"/>
  <c r="D86" i="1"/>
  <c r="C86" i="16"/>
  <c r="BQ14" i="4"/>
  <c r="BQ33" i="4"/>
  <c r="E35" i="16"/>
  <c r="BQ15" i="4"/>
  <c r="BQ34" i="4"/>
  <c r="D85" i="1"/>
  <c r="BQ16" i="4"/>
  <c r="BQ35" i="4"/>
  <c r="BQ23" i="4" l="1"/>
  <c r="D95" i="1"/>
  <c r="D67" i="1"/>
  <c r="D90" i="1"/>
  <c r="D88" i="1"/>
  <c r="D55" i="1"/>
  <c r="C36" i="16"/>
  <c r="D54" i="16"/>
  <c r="E56" i="16"/>
  <c r="E51" i="16"/>
  <c r="E54" i="16"/>
  <c r="E53" i="16"/>
  <c r="D53" i="16"/>
  <c r="D57" i="1"/>
  <c r="D14" i="20"/>
  <c r="C35" i="2"/>
  <c r="E24" i="20"/>
  <c r="D35" i="2"/>
  <c r="D91" i="1" l="1"/>
  <c r="D59" i="1"/>
  <c r="C7" i="20"/>
  <c r="C26" i="20"/>
  <c r="E23" i="20"/>
  <c r="E26" i="20" s="1"/>
  <c r="D64" i="1" l="1"/>
  <c r="C69" i="16" s="1"/>
  <c r="J69" i="16" s="1"/>
  <c r="D68" i="1" l="1"/>
  <c r="J70" i="1" s="1"/>
  <c r="D69" i="1" s="1"/>
  <c r="C26" i="5" l="1"/>
  <c r="C26" i="28"/>
  <c r="D70" i="1"/>
  <c r="D98" i="1"/>
  <c r="C37" i="16"/>
  <c r="C24" i="5" l="1"/>
  <c r="C71" i="16"/>
  <c r="J71" i="16" s="1"/>
  <c r="C41" i="16"/>
  <c r="D79" i="1"/>
  <c r="C72" i="16" s="1"/>
  <c r="J72" i="16" s="1"/>
  <c r="C24" i="28"/>
  <c r="D81" i="1" l="1"/>
  <c r="C42" i="28" s="1"/>
  <c r="C42" i="16"/>
  <c r="C40" i="28"/>
  <c r="C40" i="5"/>
  <c r="C45" i="16" l="1"/>
  <c r="C42" i="5"/>
  <c r="C73" i="16"/>
  <c r="J73" i="16" s="1"/>
  <c r="B37" i="16"/>
  <c r="D39" i="2" l="1"/>
  <c r="B35" i="16" l="1"/>
  <c r="C87" i="1" l="1"/>
  <c r="BP33" i="4"/>
  <c r="C86" i="1"/>
  <c r="C77" i="1" l="1"/>
  <c r="C95" i="1" s="1"/>
  <c r="BP29" i="4" l="1"/>
  <c r="D13" i="16" l="1"/>
  <c r="D33" i="16"/>
  <c r="D20" i="5"/>
  <c r="D43" i="5" s="1"/>
  <c r="B21" i="5" l="1"/>
  <c r="B44" i="5" s="1"/>
  <c r="B33" i="16" l="1"/>
  <c r="B14" i="16" l="1"/>
  <c r="B34" i="16"/>
  <c r="B13" i="16"/>
  <c r="BP21" i="4"/>
  <c r="BP20" i="4"/>
  <c r="B48" i="16" l="1"/>
  <c r="B40" i="16"/>
  <c r="E20" i="5"/>
  <c r="E43" i="5" s="1"/>
  <c r="B89" i="16" l="1"/>
  <c r="D56" i="16" l="1"/>
  <c r="E13" i="16"/>
  <c r="E33" i="16"/>
  <c r="C21" i="5"/>
  <c r="C44" i="5" s="1"/>
  <c r="C14" i="16" l="1"/>
  <c r="C34" i="16"/>
  <c r="B91" i="16"/>
  <c r="C14" i="20"/>
  <c r="C35" i="20"/>
  <c r="E28" i="20"/>
  <c r="E35" i="20" s="1"/>
  <c r="C48" i="16" l="1"/>
  <c r="C40" i="16"/>
  <c r="BP30" i="4"/>
  <c r="BP31" i="4"/>
  <c r="BP17" i="4"/>
  <c r="BP25" i="4"/>
  <c r="BP32" i="4"/>
  <c r="BP22" i="4"/>
  <c r="BP15" i="4"/>
  <c r="BP34" i="4"/>
  <c r="BP16" i="4"/>
  <c r="BP26" i="4"/>
  <c r="BP35" i="4" l="1"/>
  <c r="C82" i="16" l="1"/>
  <c r="C84" i="16" l="1"/>
  <c r="C83" i="16" l="1"/>
  <c r="C85" i="1" l="1"/>
  <c r="C88" i="1" l="1"/>
  <c r="C91" i="1" l="1"/>
  <c r="BP39" i="4"/>
  <c r="BP27" i="4"/>
  <c r="E22" i="20" l="1"/>
  <c r="C40" i="2"/>
  <c r="D21" i="5"/>
  <c r="D44" i="5" s="1"/>
  <c r="D14" i="16" l="1"/>
  <c r="D34" i="16"/>
  <c r="D48" i="16" l="1"/>
  <c r="D40" i="16"/>
  <c r="B20" i="5" l="1"/>
  <c r="B43" i="5" s="1"/>
  <c r="C66" i="1" l="1"/>
  <c r="F28" i="2"/>
  <c r="C58" i="1"/>
  <c r="C57" i="1"/>
  <c r="F25" i="2"/>
  <c r="C56" i="1"/>
  <c r="C54" i="1"/>
  <c r="D82" i="16"/>
  <c r="C20" i="5"/>
  <c r="C43" i="5" s="1"/>
  <c r="C67" i="1" l="1"/>
  <c r="C55" i="1"/>
  <c r="E35" i="2"/>
  <c r="E21" i="5"/>
  <c r="E44" i="5" s="1"/>
  <c r="D7" i="20"/>
  <c r="D91" i="16"/>
  <c r="D40" i="2"/>
  <c r="C59" i="1" l="1"/>
  <c r="E14" i="16"/>
  <c r="E34" i="16"/>
  <c r="C13" i="16"/>
  <c r="C33" i="16"/>
  <c r="BP14" i="4"/>
  <c r="G22" i="19"/>
  <c r="E82" i="16"/>
  <c r="C64" i="1" l="1"/>
  <c r="C68" i="1" s="1"/>
  <c r="I70" i="1" s="1"/>
  <c r="C69" i="1" s="1"/>
  <c r="D49" i="16"/>
  <c r="E48" i="16"/>
  <c r="E40" i="16"/>
  <c r="B82" i="16"/>
  <c r="B84" i="16"/>
  <c r="B69" i="16" l="1"/>
  <c r="B26" i="5"/>
  <c r="B26" i="28"/>
  <c r="C70" i="1"/>
  <c r="C79" i="1" s="1"/>
  <c r="C81" i="1" s="1"/>
  <c r="C98" i="1"/>
  <c r="B36" i="16"/>
  <c r="D52" i="16"/>
  <c r="BP13" i="4"/>
  <c r="BP18" i="4"/>
  <c r="E84" i="16"/>
  <c r="B24" i="28" l="1"/>
  <c r="C74" i="1"/>
  <c r="B24" i="5"/>
  <c r="B41" i="16"/>
  <c r="B71" i="16"/>
  <c r="I71" i="16" s="1"/>
  <c r="E49" i="16"/>
  <c r="BP23" i="4" l="1"/>
  <c r="B23" i="28"/>
  <c r="B40" i="28"/>
  <c r="B40" i="5"/>
  <c r="B42" i="16"/>
  <c r="B72" i="16"/>
  <c r="I72" i="16" s="1"/>
  <c r="C76" i="1"/>
  <c r="B44" i="16"/>
  <c r="C84" i="1"/>
  <c r="B70" i="16"/>
  <c r="I70" i="16" s="1"/>
  <c r="B23" i="5"/>
  <c r="E52" i="16"/>
  <c r="BP36" i="4"/>
  <c r="C92" i="1" l="1"/>
  <c r="C94" i="1" s="1"/>
  <c r="C96" i="1" s="1"/>
  <c r="B42" i="28"/>
  <c r="B45" i="16"/>
  <c r="B73" i="16"/>
  <c r="I73" i="16" s="1"/>
  <c r="B42" i="5"/>
  <c r="BP38" i="4" l="1"/>
  <c r="BP40" i="4" l="1"/>
  <c r="B85" i="16" l="1"/>
  <c r="D85" i="16"/>
  <c r="D50" i="16" l="1"/>
  <c r="D74" i="1"/>
  <c r="D84" i="1" l="1"/>
  <c r="C23" i="28"/>
  <c r="C23" i="5"/>
  <c r="C70" i="16"/>
  <c r="J70" i="16" s="1"/>
  <c r="C44" i="16"/>
  <c r="D76" i="1"/>
  <c r="D92" i="1" l="1"/>
  <c r="JI33" i="26" l="1"/>
  <c r="D94" i="1"/>
  <c r="JP33" i="26" l="1"/>
  <c r="D96" i="1"/>
  <c r="JI34" i="26" l="1"/>
  <c r="JP34" i="26" s="1"/>
  <c r="JI41" i="26"/>
  <c r="JP41" i="26" s="1"/>
  <c r="JI35" i="26" l="1"/>
  <c r="JH34" i="26"/>
  <c r="JO34" i="26" s="1"/>
  <c r="JI42" i="26"/>
  <c r="JP42" i="26" s="1"/>
  <c r="JH41" i="26"/>
  <c r="JO41" i="26" s="1"/>
  <c r="JI60" i="26" l="1"/>
  <c r="JP35" i="26"/>
  <c r="JH35" i="26"/>
  <c r="JI37" i="26"/>
  <c r="JI63" i="26" s="1"/>
  <c r="JI45" i="26"/>
  <c r="JH42" i="26"/>
  <c r="JO42" i="26" s="1"/>
  <c r="JH37" i="26"/>
  <c r="JH63" i="26" l="1"/>
  <c r="JP60" i="26"/>
  <c r="JH60" i="26"/>
  <c r="JI61" i="26"/>
  <c r="JP37" i="26"/>
  <c r="JP63" i="26" s="1"/>
  <c r="JO37" i="26"/>
  <c r="JP45" i="26"/>
  <c r="JO35" i="26"/>
  <c r="JI49" i="26"/>
  <c r="JP49" i="26" s="1"/>
  <c r="JH45" i="26"/>
  <c r="JH61" i="26" s="1"/>
  <c r="JI55" i="26"/>
  <c r="JO60" i="26" l="1"/>
  <c r="JO63" i="26"/>
  <c r="JP61" i="26"/>
  <c r="JP55" i="26"/>
  <c r="JO45" i="26"/>
  <c r="JI52" i="26"/>
  <c r="JO61" i="26" l="1"/>
  <c r="JP52" i="26"/>
  <c r="JI53" i="26"/>
  <c r="JH55" i="26"/>
  <c r="JI57" i="26"/>
  <c r="JP57" i="26" s="1"/>
  <c r="JI62" i="26" l="1"/>
  <c r="JI65" i="26"/>
  <c r="JI64" i="26"/>
  <c r="JO55" i="26"/>
  <c r="JP53" i="26"/>
  <c r="AR67" i="27"/>
  <c r="AR71" i="27" s="1"/>
  <c r="AR66" i="27"/>
  <c r="AR70" i="27" s="1"/>
  <c r="JH53" i="26"/>
  <c r="JH57" i="26"/>
  <c r="JO57" i="26" s="1"/>
  <c r="AN174" i="27"/>
  <c r="AN175" i="27"/>
  <c r="JH62" i="26" l="1"/>
  <c r="JH65" i="26"/>
  <c r="JP62" i="26"/>
  <c r="JP65" i="26"/>
  <c r="JP64" i="26"/>
  <c r="JH64" i="26"/>
  <c r="JO53" i="26"/>
  <c r="BF66" i="27"/>
  <c r="BF70" i="27" s="1"/>
  <c r="BF67" i="27"/>
  <c r="AR68" i="27"/>
  <c r="AR72" i="27" s="1"/>
  <c r="JO62" i="26" l="1"/>
  <c r="JO65" i="26"/>
  <c r="JO64" i="26"/>
  <c r="BF68" i="27"/>
  <c r="BF72" i="27" s="1"/>
  <c r="BF71" i="27"/>
  <c r="JG10" i="26" l="1"/>
  <c r="CK31" i="26" l="1"/>
  <c r="CK40" i="26" s="1"/>
  <c r="CK91" i="26"/>
  <c r="DL31" i="26" l="1"/>
  <c r="DL40" i="26"/>
  <c r="GW32" i="26"/>
  <c r="GW195" i="26"/>
  <c r="GW201" i="26" s="1"/>
  <c r="AK162" i="27"/>
  <c r="AK166" i="27" s="1"/>
  <c r="CK35" i="26"/>
  <c r="CK72" i="26" s="1"/>
  <c r="CK42" i="26" l="1"/>
  <c r="CK66" i="26" s="1"/>
  <c r="CK37" i="26"/>
  <c r="CK71" i="26" s="1"/>
  <c r="CK73" i="26" s="1"/>
  <c r="GW197" i="26"/>
  <c r="GW203" i="26" s="1"/>
  <c r="DL35" i="26"/>
  <c r="GW49" i="26"/>
  <c r="GW155" i="26"/>
  <c r="CK60" i="26"/>
  <c r="AY36" i="27"/>
  <c r="GW167" i="26"/>
  <c r="DL38" i="26"/>
  <c r="AK37" i="27"/>
  <c r="AY37" i="27" s="1"/>
  <c r="BN37" i="27" s="1"/>
  <c r="CK45" i="26"/>
  <c r="DL45" i="26" s="1"/>
  <c r="GX156" i="26" l="1"/>
  <c r="GX158" i="26" s="1"/>
  <c r="GX160" i="26" s="1"/>
  <c r="GX332" i="26" s="1"/>
  <c r="GW328" i="26"/>
  <c r="DL42" i="26"/>
  <c r="DL37" i="26"/>
  <c r="AY146" i="27"/>
  <c r="AY147" i="27" s="1"/>
  <c r="BN36" i="27"/>
  <c r="GW51" i="26"/>
  <c r="CK61" i="26"/>
  <c r="GW156" i="26"/>
  <c r="GW158" i="26" s="1"/>
  <c r="GW160" i="26" s="1"/>
  <c r="GW332" i="26" s="1"/>
  <c r="GY156" i="26"/>
  <c r="GZ156" i="26"/>
  <c r="CK63" i="26"/>
  <c r="AK41" i="27"/>
  <c r="CK53" i="26"/>
  <c r="CK55" i="26" s="1"/>
  <c r="GX338" i="26" l="1"/>
  <c r="GX331" i="26"/>
  <c r="GX337" i="26" s="1"/>
  <c r="GW338" i="26"/>
  <c r="GW331" i="26"/>
  <c r="GW337" i="26" s="1"/>
  <c r="GW345" i="26"/>
  <c r="GW327" i="26"/>
  <c r="GW344" i="26" s="1"/>
  <c r="GW40" i="26"/>
  <c r="GW42" i="26" s="1"/>
  <c r="AK45" i="27"/>
  <c r="AK49" i="27"/>
  <c r="CK65" i="26"/>
  <c r="DL53" i="26"/>
  <c r="GW162" i="26"/>
  <c r="GW37" i="26" s="1"/>
  <c r="GX162" i="26"/>
  <c r="GX37" i="26" s="1"/>
  <c r="GZ158" i="26"/>
  <c r="GZ160" i="26" s="1"/>
  <c r="GZ332" i="26" s="1"/>
  <c r="GY158" i="26"/>
  <c r="GY160" i="26" s="1"/>
  <c r="GY332" i="26" s="1"/>
  <c r="GW123" i="26"/>
  <c r="CK62" i="26"/>
  <c r="GW168" i="26"/>
  <c r="AY41" i="27"/>
  <c r="AZ42" i="27" s="1"/>
  <c r="GY338" i="26" l="1"/>
  <c r="GZ338" i="26"/>
  <c r="GX348" i="26"/>
  <c r="GW347" i="26"/>
  <c r="GW348" i="26"/>
  <c r="GW349" i="26"/>
  <c r="GY331" i="26"/>
  <c r="GY337" i="26" s="1"/>
  <c r="AY80" i="27"/>
  <c r="BN41" i="27"/>
  <c r="AY49" i="27"/>
  <c r="AY45" i="27"/>
  <c r="AK31" i="27"/>
  <c r="AY31" i="27" s="1"/>
  <c r="BN31" i="27" s="1"/>
  <c r="DL56" i="26"/>
  <c r="CK57" i="26"/>
  <c r="DL57" i="26" s="1"/>
  <c r="DL55" i="26"/>
  <c r="GZ331" i="26"/>
  <c r="GZ337" i="26" s="1"/>
  <c r="GY162" i="26"/>
  <c r="GY37" i="26" s="1"/>
  <c r="GZ162" i="26"/>
  <c r="GZ37" i="26" s="1"/>
  <c r="GW169" i="26"/>
  <c r="AK29" i="27"/>
  <c r="AY29" i="27" s="1"/>
  <c r="BN29" i="27" s="1"/>
  <c r="CK64" i="26"/>
  <c r="AK53" i="27"/>
  <c r="AK54" i="27"/>
  <c r="GY348" i="26" l="1"/>
  <c r="GZ348" i="26"/>
  <c r="BN45" i="27"/>
  <c r="BN49" i="27"/>
  <c r="GW45" i="26"/>
  <c r="GW126" i="26"/>
  <c r="AK66" i="27"/>
  <c r="AK70" i="27" s="1"/>
  <c r="AK67" i="27"/>
  <c r="AK71" i="27" s="1"/>
  <c r="GW141" i="26" l="1"/>
  <c r="GW38" i="26" s="1"/>
  <c r="AY67" i="27"/>
  <c r="AY71" i="27" s="1"/>
  <c r="AY66" i="27"/>
  <c r="AK68" i="27"/>
  <c r="AK72" i="27" s="1"/>
  <c r="GX189" i="26" l="1"/>
  <c r="GX44" i="26" s="1"/>
  <c r="AY68" i="27"/>
  <c r="AY72" i="27" s="1"/>
  <c r="AY70" i="27"/>
  <c r="AH174" i="27"/>
  <c r="IC71" i="26"/>
  <c r="IB71" i="26" l="1"/>
  <c r="IF71" i="26"/>
  <c r="IF68" i="26"/>
  <c r="IG68" i="26"/>
  <c r="IG71" i="26"/>
  <c r="IB64" i="26" l="1"/>
  <c r="IB68" i="26"/>
  <c r="IC66" i="26"/>
  <c r="IG70" i="26"/>
  <c r="IF64" i="26"/>
  <c r="IG64" i="26"/>
  <c r="IC68" i="26"/>
  <c r="IF70" i="26"/>
  <c r="IB66" i="26"/>
  <c r="EX44" i="26"/>
  <c r="FG43" i="26" l="1"/>
  <c r="FW29" i="26"/>
  <c r="IB70" i="26"/>
  <c r="IF66" i="26"/>
  <c r="IG66" i="26"/>
  <c r="IC64" i="26"/>
  <c r="GM29" i="26" l="1"/>
  <c r="IC70" i="26"/>
  <c r="HL193" i="26" l="1"/>
  <c r="HJ193" i="26"/>
  <c r="HJ205" i="26" s="1"/>
  <c r="HE49" i="26"/>
  <c r="HE201" i="26"/>
  <c r="HE51" i="26"/>
  <c r="HE203" i="26"/>
  <c r="HF201" i="26"/>
  <c r="HF51" i="26"/>
  <c r="HF203" i="26"/>
  <c r="HN193" i="26"/>
  <c r="HF49" i="26"/>
  <c r="HN203" i="26" l="1"/>
  <c r="HN51" i="26" s="1"/>
  <c r="HN205" i="26"/>
  <c r="HL201" i="26"/>
  <c r="HL49" i="26" s="1"/>
  <c r="HT52" i="26" s="1"/>
  <c r="HL205" i="26"/>
  <c r="HJ201" i="26"/>
  <c r="HJ203" i="26"/>
  <c r="FB38" i="26"/>
  <c r="GA22" i="26" s="1"/>
  <c r="HL203" i="26"/>
  <c r="HN201" i="26"/>
  <c r="HN49" i="26" s="1"/>
  <c r="GQ22" i="26" l="1"/>
  <c r="FK37" i="26"/>
  <c r="FB22" i="26"/>
  <c r="FT21" i="26" s="1"/>
  <c r="HV52" i="26"/>
  <c r="FB23" i="26"/>
  <c r="FT22" i="26" s="1"/>
  <c r="HV54" i="26"/>
  <c r="HJ49" i="26"/>
  <c r="ID75" i="26"/>
  <c r="EZ37" i="26"/>
  <c r="ID49" i="26"/>
  <c r="EZ22" i="26"/>
  <c r="HJ51" i="26"/>
  <c r="EX38" i="26"/>
  <c r="IB75" i="26"/>
  <c r="EX37" i="26"/>
  <c r="FB37" i="26"/>
  <c r="GA21" i="26" s="1"/>
  <c r="HL51" i="26"/>
  <c r="HT54" i="26" s="1"/>
  <c r="IF51" i="26"/>
  <c r="IF77" i="26"/>
  <c r="GJ22" i="26" l="1"/>
  <c r="GQ21" i="26"/>
  <c r="GJ21" i="26"/>
  <c r="FG37" i="26"/>
  <c r="FW22" i="26"/>
  <c r="FI21" i="26"/>
  <c r="FR21" i="26"/>
  <c r="FI36" i="26"/>
  <c r="FY21" i="26"/>
  <c r="FG36" i="26"/>
  <c r="FW21" i="26"/>
  <c r="FK22" i="26"/>
  <c r="FK36" i="26"/>
  <c r="FK21" i="26"/>
  <c r="EX23" i="26"/>
  <c r="FP22" i="26" s="1"/>
  <c r="HR54" i="26"/>
  <c r="IB49" i="26"/>
  <c r="HR52" i="26"/>
  <c r="EX22" i="26"/>
  <c r="ID77" i="26"/>
  <c r="EZ38" i="26"/>
  <c r="ID51" i="26"/>
  <c r="EZ23" i="26"/>
  <c r="IB51" i="26"/>
  <c r="IB77" i="26"/>
  <c r="IF75" i="26"/>
  <c r="IF49" i="26"/>
  <c r="GO21" i="26" l="1"/>
  <c r="GM22" i="26"/>
  <c r="GH21" i="26"/>
  <c r="GF22" i="26"/>
  <c r="GM21" i="26"/>
  <c r="FG21" i="26"/>
  <c r="FP21" i="26"/>
  <c r="FI22" i="26"/>
  <c r="FR22" i="26"/>
  <c r="FI37" i="26"/>
  <c r="FY22" i="26"/>
  <c r="FG22" i="26"/>
  <c r="GH22" i="26" l="1"/>
  <c r="GO22" i="26"/>
  <c r="GF21"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tc={A18848B8-4786-4E98-8A3E-5C79BCA32C3E}</author>
    <author>tc={A1564E55-1728-4F33-9E2D-3314E57DAEBD}</author>
    <author>Henrik Carlsson</author>
    <author>tc={5CD32A95-23BD-457E-AD3D-2A42ED42E804}</author>
    <author>tc={6FD492DB-E50F-4143-A634-392C3C369C9D}</author>
    <author>tc={B65AD750-E220-4703-9E76-4DE11560180B}</author>
    <author>tc={641BDCAE-12F9-4D17-AA63-CDAAFDCC05F9}</author>
  </authors>
  <commentList>
    <comment ref="C2" authorId="0" shapeId="0" xr:uid="{A18848B8-4786-4E98-8A3E-5C79BCA32C3E}">
      <text>
        <t>[Threaded comment]
Your version of Excel allows you to read this threaded comment; however, any edits to it will get removed if the file is opened in a newer version of Excel. Learn more: https://go.microsoft.com/fwlink/?linkid=870924
Comment:
    @Per Normann 
Har vi en logisk uppställning på denna fliken? Är det lätt att följa vad som händer? Är det lätt att förstå vart siffrorna hämtas från? Eller kan vi förtydliga detta?
Kan vi ta bort överflödig information för att göra fliken ”cleanare”?
Vad är vår ”avstämnings-funktion”?</t>
      </text>
    </comment>
    <comment ref="E12" authorId="1" shapeId="0" xr:uid="{A1564E55-1728-4F33-9E2D-3314E57DAEBD}">
      <text>
        <t>[Threaded comment]
Your version of Excel allows you to read this threaded comment; however, any edits to it will get removed if the file is opened in a newer version of Excel. Learn more: https://go.microsoft.com/fwlink/?linkid=870924
Comment:
    Har vi knackat in rätt siffror här?</t>
      </text>
    </comment>
    <comment ref="M15" authorId="2" shapeId="0" xr:uid="{64A4B95A-21FE-4467-BD62-BE91CB1DB760}">
      <text>
        <r>
          <rPr>
            <b/>
            <sz val="9"/>
            <color indexed="81"/>
            <rFont val="Tahoma"/>
            <family val="2"/>
          </rPr>
          <t>Henrik Carlsson:</t>
        </r>
        <r>
          <rPr>
            <sz val="9"/>
            <color indexed="81"/>
            <rFont val="Tahoma"/>
            <family val="2"/>
          </rPr>
          <t xml:space="preserve">
Inga extra avskrivningar, dvs IFRS = RAN
</t>
        </r>
      </text>
    </comment>
    <comment ref="CC15" authorId="2" shapeId="0" xr:uid="{62C58616-A259-4CEB-9C5C-D6B1D86350E0}">
      <text>
        <r>
          <rPr>
            <b/>
            <sz val="9"/>
            <color indexed="81"/>
            <rFont val="Tahoma"/>
            <family val="2"/>
          </rPr>
          <t>Henrik Carlsson:</t>
        </r>
        <r>
          <rPr>
            <sz val="9"/>
            <color indexed="81"/>
            <rFont val="Tahoma"/>
            <family val="2"/>
          </rPr>
          <t xml:space="preserve">
Inga extra avskrivningar, dvs IFRS = RAN
</t>
        </r>
      </text>
    </comment>
    <comment ref="P22" authorId="3" shapeId="0" xr:uid="{5CD32A95-23BD-457E-AD3D-2A42ED42E804}">
      <text>
        <t>[Threaded comment]
Your version of Excel allows you to read this threaded comment; however, any edits to it will get removed if the file is opened in a newer version of Excel. Learn more: https://go.microsoft.com/fwlink/?linkid=870924
Comment:
    @Per Normann stämmer verkligen dessa siffror med IFRS-avskrivningar i ”RANMaster”-fil?</t>
      </text>
    </comment>
    <comment ref="Q22" authorId="4" shapeId="0" xr:uid="{6FD492DB-E50F-4143-A634-392C3C369C9D}">
      <text>
        <t>[Threaded comment]
Your version of Excel allows you to read this threaded comment; however, any edits to it will get removed if the file is opened in a newer version of Excel. Learn more: https://go.microsoft.com/fwlink/?linkid=870924
Comment:
    @Per Normann stämmer verkligen dessa siffror med IFRS-avskrivningar i ”RANMaster”-fil?</t>
      </text>
    </comment>
    <comment ref="P28" authorId="5" shapeId="0" xr:uid="{B65AD750-E220-4703-9E76-4DE11560180B}">
      <text>
        <t xml:space="preserve">[Threaded comment]
Your version of Excel allows you to read this threaded comment; however, any edits to it will get removed if the file is opened in a newer version of Excel. Learn more: https://go.microsoft.com/fwlink/?linkid=870924
Comment:
    Kan vi förtydliga hur/ att  denna hänger med filen ”RANMaster”? @Per Normann </t>
      </text>
    </comment>
    <comment ref="Q28" authorId="6" shapeId="0" xr:uid="{641BDCAE-12F9-4D17-AA63-CDAAFDCC05F9}">
      <text>
        <t xml:space="preserve">[Threaded comment]
Your version of Excel allows you to read this threaded comment; however, any edits to it will get removed if the file is opened in a newer version of Excel. Learn more: https://go.microsoft.com/fwlink/?linkid=870924
Comment:
    Kan vi förtydliga hur/ att  denna hänger med filen ”RANMaster”? @Per Normann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tc={A5C55BD7-A15D-433A-8B22-58A0C3293B17}</author>
    <author>tc={19EB537E-2FFA-4163-BBF8-3C0FC5A088F8}</author>
    <author>tc={95D777C8-194A-4759-93DE-4E750015D674}</author>
    <author>tc={1D6B5366-18D4-42DB-B39E-BE0CCA78DED2}</author>
    <author>tc={FB5465D6-DBBA-40C7-89D5-1089065BA202}</author>
    <author>tc={321EDEAD-6182-4F3E-B028-EE758CDDC0F9}</author>
    <author>tc={86D72F53-8252-43D9-B021-0EBE9D967C13}</author>
    <author>tc={178D5D18-C66F-43DE-9C0B-8B5D4F141A81}</author>
    <author>tc={8730F52E-C519-405C-AA3D-BA747D7615BA}</author>
    <author>tc={B48C2566-7BBE-4338-862E-6E23EA512422}</author>
    <author>tc={E67A1514-6B25-44E2-B912-982CE8BB4229}</author>
    <author>tc={DDFB0DCB-8073-4B0C-9CD1-A5ED81DDD98D}</author>
    <author>tc={B130B59F-1BCC-46EB-BB91-67DDCEAB4410}</author>
    <author>tc={2446AE4D-6BC2-4C98-83E8-4C623A0A349E}</author>
    <author>Per Normann</author>
    <author>tc={C9A0E6C1-A0FC-4E90-9096-0732795DA410}</author>
    <author>tc={49715DF3-77F2-4DE5-B13C-059A0589AD75}</author>
    <author>tc={4E88F4D9-9EDA-4D88-883A-0F5D07A07458}</author>
    <author>tc={A5DF1A26-B1C4-4318-98CF-BB81473056ED}</author>
    <author>tc={4C0D875B-C4A8-4810-BD93-05637518D96B}</author>
  </authors>
  <commentList>
    <comment ref="T11" authorId="0" shapeId="0" xr:uid="{A5C55BD7-A15D-433A-8B22-58A0C3293B17}">
      <text>
        <t>[Threaded comment]
Your version of Excel allows you to read this threaded comment; however, any edits to it will get removed if the file is opened in a newer version of Excel. Learn more: https://go.microsoft.com/fwlink/?linkid=870924
Comment:
    Behövs någon justering på ”Varav hänförligt till”-sektionerna?</t>
      </text>
    </comment>
    <comment ref="BP13" authorId="1" shapeId="0" xr:uid="{19EB537E-2FFA-4163-BBF8-3C0FC5A088F8}">
      <text>
        <t>[Threaded comment]
Your version of Excel allows you to read this threaded comment; however, any edits to it will get removed if the file is opened in a newer version of Excel. Learn more: https://go.microsoft.com/fwlink/?linkid=870924
Comment:
    Notera att IFRS-avskrivningar ”omklassificeras” och flyttas ”ned” i P&amp;L:en. OBS! Bokföringsmässiga enligt IFRS P&amp;L:en i sektion 1, EJ ”FULLA”, ”Totala” RAN-avskrivningar.</t>
      </text>
    </comment>
    <comment ref="IN13" authorId="2" shapeId="0" xr:uid="{95D777C8-194A-4759-93DE-4E750015D674}">
      <text>
        <t>[Threaded comment]
Your version of Excel allows you to read this threaded comment; however, any edits to it will get removed if the file is opened in a newer version of Excel. Learn more: https://go.microsoft.com/fwlink/?linkid=870924
Comment:
    I denna sektionen gör vi justeringar i våra IFRS siffror så att bryggan ska vara ”Like-4-Like” och att IFRS och RAN ska ha samma samma poster på samma rader.</t>
      </text>
    </comment>
    <comment ref="IZ16" authorId="3" shapeId="0" xr:uid="{1D6B5366-18D4-42DB-B39E-BE0CCA78DED2}">
      <text>
        <t>[Threaded comment]
Your version of Excel allows you to read this threaded comment; however, any edits to it will get removed if the file is opened in a newer version of Excel. Learn more: https://go.microsoft.com/fwlink/?linkid=870924
Comment:
    Se upp med formel!</t>
      </text>
    </comment>
    <comment ref="BP20" authorId="4" shapeId="0" xr:uid="{FB5465D6-DBBA-40C7-89D5-1089065BA202}">
      <text>
        <t>[Threaded comment]
Your version of Excel allows you to read this threaded comment; however, any edits to it will get removed if the file is opened in a newer version of Excel. Learn more: https://go.microsoft.com/fwlink/?linkid=870924
Comment:
    För RAN avskrivningar måste vi lägga in ”FULLA”, ”Totala” RAN avskrivningar, dvs inte bara ”Deltat”</t>
      </text>
    </comment>
    <comment ref="IN20" authorId="5" shapeId="0" xr:uid="{321EDEAD-6182-4F3E-B028-EE758CDDC0F9}">
      <text>
        <t>[Threaded comment]
Your version of Excel allows you to read this threaded comment; however, any edits to it will get removed if the file is opened in a newer version of Excel. Learn more: https://go.microsoft.com/fwlink/?linkid=870924
Comment:
    IFRS-avskrivningarna ”flyttas ned” så att de ska ligga på samma rad som RAN-avskrivningarna.</t>
      </text>
    </comment>
    <comment ref="IX21" authorId="6" shapeId="0" xr:uid="{86D72F53-8252-43D9-B021-0EBE9D967C13}">
      <text>
        <t>[Threaded comment]
Your version of Excel allows you to read this threaded comment; however, any edits to it will get removed if the file is opened in a newer version of Excel. Learn more: https://go.microsoft.com/fwlink/?linkid=870924
Comment:
    OBS! Se upp med dessa som behöver en manuell justering!</t>
      </text>
    </comment>
    <comment ref="BP30" authorId="7" shapeId="0" xr:uid="{178D5D18-C66F-43DE-9C0B-8B5D4F141A81}">
      <text>
        <t>[Threaded comment]
Your version of Excel allows you to read this threaded comment; however, any edits to it will get removed if the file is opened in a newer version of Excel. Learn more: https://go.microsoft.com/fwlink/?linkid=870924
Comment:
    Detta är ”deltat” på avskrivningarna mellan RAN vs IFRS.</t>
      </text>
    </comment>
    <comment ref="BP33" authorId="8" shapeId="0" xr:uid="{8730F52E-C519-405C-AA3D-BA747D7615BA}">
      <text>
        <t>[Threaded comment]
Your version of Excel allows you to read this threaded comment; however, any edits to it will get removed if the file is opened in a newer version of Excel. Learn more: https://go.microsoft.com/fwlink/?linkid=870924
Comment:
    Detta är deltat på skatt enligt RAN vs IFRS.</t>
      </text>
    </comment>
    <comment ref="GU35" authorId="9" shapeId="0" xr:uid="{B48C2566-7BBE-4338-862E-6E23EA512422}">
      <text>
        <t>[Threaded comment]
Your version of Excel allows you to read this threaded comment; however, any edits to it will get removed if the file is opened in a newer version of Excel. Learn more: https://go.microsoft.com/fwlink/?linkid=870924
Comment:
    OBS! Beräknas på kvarvarande verksamhet!</t>
      </text>
    </comment>
    <comment ref="CI38" authorId="10" shapeId="0" xr:uid="{E67A1514-6B25-44E2-B912-982CE8BB4229}">
      <text>
        <t>[Threaded comment]
Your version of Excel allows you to read this threaded comment; however, any edits to it will get removed if the file is opened in a newer version of Excel. Learn more: https://go.microsoft.com/fwlink/?linkid=870924
Comment:
    Är detta samma under RAN som under IFRS?</t>
      </text>
    </comment>
    <comment ref="CI48" authorId="11" shapeId="0" xr:uid="{DDFB0DCB-8073-4B0C-9CD1-A5ED81DDD98D}">
      <text>
        <t>[Threaded comment]
Your version of Excel allows you to read this threaded comment; however, any edits to it will get removed if the file is opened in a newer version of Excel. Learn more: https://go.microsoft.com/fwlink/?linkid=870924
Comment:
    ”Erkänner” vi uppskjuten skatt på detta enligt RAN? ☺️</t>
      </text>
    </comment>
    <comment ref="GW48" authorId="12" shapeId="0" xr:uid="{B130B59F-1BCC-46EB-BB91-67DDCEAB4410}">
      <text>
        <t>[Threaded comment]
Your version of Excel allows you to read this threaded comment; however, any edits to it will get removed if the file is opened in a newer version of Excel. Learn more: https://go.microsoft.com/fwlink/?linkid=870924
Comment:
    Beräkning stämmer med hemsida (”Eget kapital per aktie: Eget kapital exklusive innehav utan bestämmande inflytande dividerat med antal aktier.”)</t>
      </text>
    </comment>
    <comment ref="D54" authorId="13" shapeId="0" xr:uid="{2446AE4D-6BC2-4C98-83E8-4C623A0A349E}">
      <text>
        <t>[Threaded comment]
Your version of Excel allows you to read this threaded comment; however, any edits to it will get removed if the file is opened in a newer version of Excel. Learn more: https://go.microsoft.com/fwlink/?linkid=870924
Comment:
    Behövs någon justering på ”varav hänförligt till”-sektionerna</t>
      </text>
    </comment>
    <comment ref="JB55" authorId="14" shapeId="0" xr:uid="{87408D5E-0ACD-45D5-8924-2C4D2A1A9D41}">
      <text>
        <r>
          <rPr>
            <b/>
            <sz val="9"/>
            <color indexed="81"/>
            <rFont val="Tahoma"/>
            <family val="2"/>
          </rPr>
          <t>Per Normann:</t>
        </r>
        <r>
          <rPr>
            <sz val="9"/>
            <color indexed="81"/>
            <rFont val="Tahoma"/>
            <family val="2"/>
          </rPr>
          <t xml:space="preserve">
Säkerställ att denna har räknats korrekt när BR är uppdaterad</t>
        </r>
      </text>
    </comment>
    <comment ref="CI89" authorId="15" shapeId="0" xr:uid="{C9A0E6C1-A0FC-4E90-9096-0732795DA410}">
      <text>
        <t>[Threaded comment]
Your version of Excel allows you to read this threaded comment; however, any edits to it will get removed if the file is opened in a newer version of Excel. Learn more: https://go.microsoft.com/fwlink/?linkid=870924
Comment:
    Här antar vi att all kvarvarande verksamhet är i SE. Men vi har en liten del i DK, NO, DE…?</t>
      </text>
    </comment>
    <comment ref="GU95" authorId="16" shapeId="0" xr:uid="{49715DF3-77F2-4DE5-B13C-059A0589AD75}">
      <text>
        <t>[Threaded comment]
Your version of Excel allows you to read this threaded comment; however, any edits to it will get removed if the file is opened in a newer version of Excel. Learn more: https://go.microsoft.com/fwlink/?linkid=870924
Comment:
    Varför har denna ökat så kraftigt?</t>
      </text>
    </comment>
    <comment ref="HN183" authorId="17" shapeId="0" xr:uid="{4E88F4D9-9EDA-4D88-883A-0F5D07A07458}">
      <text>
        <t>[Threaded comment]
Your version of Excel allows you to read this threaded comment; however, any edits to it will get removed if the file is opened in a newer version of Excel. Learn more: https://go.microsoft.com/fwlink/?linkid=870924
Comment:
    OBS! Se upp med manuell formel!</t>
      </text>
    </comment>
    <comment ref="HE308" authorId="18" shapeId="0" xr:uid="{A5DF1A26-B1C4-4318-98CF-BB81473056ED}">
      <text>
        <t>[Threaded comment]
Your version of Excel allows you to read this threaded comment; however, any edits to it will get removed if the file is opened in a newer version of Excel. Learn more: https://go.microsoft.com/fwlink/?linkid=870924
Comment:
    Ej inrullad enligt beslut från HS. Detta för att hänga med resultat enligt kommunicerad Delårsrapprot Q1.</t>
      </text>
    </comment>
    <comment ref="GU317" authorId="19" shapeId="0" xr:uid="{4C0D875B-C4A8-4810-BD93-05637518D96B}">
      <text>
        <t xml:space="preserve">[Threaded comment]
Your version of Excel allows you to read this threaded comment; however, any edits to it will get removed if the file is opened in a newer version of Excel. Learn more: https://go.microsoft.com/fwlink/?linkid=870924
Comment:
    Nu är vi konsekventa och gör extrapoleringen precis som ovan. Men frågan är om det blir rättvisande? Kanske bättre att ha en klassisk LTM-logik?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tc={11533618-374A-4BA8-8A58-B4BBAE823F02}</author>
    <author>Henrik Carlsson</author>
    <author>tc={703AF239-E435-42E1-8B74-DFE9DB5336BC}</author>
    <author>tc={17FB8449-9F67-44BE-8E06-45C80ECD925E}</author>
    <author>tc={ED775906-91AF-4D5C-8FE0-E5C6B2DCD143}</author>
    <author>tc={440545B3-39B4-4D80-A032-A34988C60557}</author>
  </authors>
  <commentList>
    <comment ref="BK5" authorId="0" shapeId="0" xr:uid="{11533618-374A-4BA8-8A58-B4BBAE823F02}">
      <text>
        <t>[Threaded comment]
Your version of Excel allows you to read this threaded comment; however, any edits to it will get removed if the file is opened in a newer version of Excel. Learn more: https://go.microsoft.com/fwlink/?linkid=870924
Comment:
    Är den kvartalsvisa förändringen rimlig?</t>
      </text>
    </comment>
    <comment ref="AH14" authorId="1" shapeId="0" xr:uid="{43C5BD2D-7B1E-4B93-B26A-E932BA25EE57}">
      <text>
        <r>
          <rPr>
            <b/>
            <sz val="9"/>
            <color indexed="81"/>
            <rFont val="Tahoma"/>
            <family val="2"/>
          </rPr>
          <t>Henrik Carlsson:</t>
        </r>
        <r>
          <rPr>
            <sz val="9"/>
            <color indexed="81"/>
            <rFont val="Tahoma"/>
            <family val="2"/>
          </rPr>
          <t xml:space="preserve">
Se fil "ÅR och noter till rättvisande alternativa nyckeltal"</t>
        </r>
      </text>
    </comment>
    <comment ref="CM14" authorId="1" shapeId="0" xr:uid="{CA7375AF-E5ED-4582-9D12-7C39D4ED1916}">
      <text>
        <r>
          <rPr>
            <b/>
            <sz val="9"/>
            <color indexed="81"/>
            <rFont val="Tahoma"/>
            <family val="2"/>
          </rPr>
          <t>Henrik Carlsson:</t>
        </r>
        <r>
          <rPr>
            <sz val="9"/>
            <color indexed="81"/>
            <rFont val="Tahoma"/>
            <family val="2"/>
          </rPr>
          <t xml:space="preserve">
Manuell formel</t>
        </r>
      </text>
    </comment>
    <comment ref="AH15" authorId="1" shapeId="0" xr:uid="{054FCC05-D3CC-47E3-AB54-314B52938104}">
      <text>
        <r>
          <rPr>
            <b/>
            <sz val="9"/>
            <color indexed="81"/>
            <rFont val="Tahoma"/>
            <family val="2"/>
          </rPr>
          <t>Henrik Carlsson:</t>
        </r>
        <r>
          <rPr>
            <sz val="9"/>
            <color indexed="81"/>
            <rFont val="Tahoma"/>
            <family val="2"/>
          </rPr>
          <t xml:space="preserve">
Se fil "ÅR och noter till rättvisande alternativa nyckeltal"
</t>
        </r>
      </text>
    </comment>
    <comment ref="CM15" authorId="1" shapeId="0" xr:uid="{8D6B82DE-45C0-4A24-AEEA-7B3C30199454}">
      <text>
        <r>
          <rPr>
            <b/>
            <sz val="9"/>
            <color indexed="81"/>
            <rFont val="Tahoma"/>
            <family val="2"/>
          </rPr>
          <t>Henrik Carlsson:</t>
        </r>
        <r>
          <rPr>
            <sz val="9"/>
            <color indexed="81"/>
            <rFont val="Tahoma"/>
            <family val="2"/>
          </rPr>
          <t xml:space="preserve">
Manuell formel!
</t>
        </r>
      </text>
    </comment>
    <comment ref="E29" authorId="2" shapeId="0" xr:uid="{703AF239-E435-42E1-8B74-DFE9DB5336BC}">
      <text>
        <t>[Threaded comment]
Your version of Excel allows you to read this threaded comment; however, any edits to it will get removed if the file is opened in a newer version of Excel. Learn more: https://go.microsoft.com/fwlink/?linkid=870924
Comment:
    Henrik tänker vi rätt här? Detta är en RR-post så vi hämtar YTD värden i likhet med BR?</t>
      </text>
    </comment>
    <comment ref="AH29" authorId="3" shapeId="0" xr:uid="{17FB8449-9F67-44BE-8E06-45C80ECD925E}">
      <text>
        <t xml:space="preserve">[Threaded comment]
Your version of Excel allows you to read this threaded comment; however, any edits to it will get removed if the file is opened in a newer version of Excel. Learn more: https://go.microsoft.com/fwlink/?linkid=870924
Comment:
    (1) Denna länkas direkt mot RAN P&amp;L. Dvs den FÅNGAR ev. förändringar i inkomstskatt mellan RAN vs IFRS. Det behövs alltså ingen ”bokning” i BR för detta (Som vi gör för RAN-uppvärderingen av tillgångar)
</t>
      </text>
    </comment>
    <comment ref="Q70" authorId="4" shapeId="0" xr:uid="{ED775906-91AF-4D5C-8FE0-E5C6B2DCD143}">
      <text>
        <t>[Threaded comment]
Your version of Excel allows you to read this threaded comment; however, any edits to it will get removed if the file is opened in a newer version of Excel. Learn more: https://go.microsoft.com/fwlink/?linkid=870924
Comment:
    Glöm ej uppdatera för Q2
Reply:
    Done</t>
      </text>
    </comment>
    <comment ref="AT92" authorId="5" shapeId="0" xr:uid="{440545B3-39B4-4D80-A032-A34988C60557}">
      <text>
        <t>[Threaded comment]
Your version of Excel allows you to read this threaded comment; however, any edits to it will get removed if the file is opened in a newer version of Excel. Learn more: https://go.microsoft.com/fwlink/?linkid=870924
Comment:
    Glöm ej att uppdatera!</t>
      </text>
    </comment>
    <comment ref="AK174" authorId="1" shapeId="0" xr:uid="{A371455A-9FD8-4124-8E08-1F0C313E82A6}">
      <text>
        <r>
          <rPr>
            <b/>
            <sz val="9"/>
            <color indexed="81"/>
            <rFont val="Tahoma"/>
            <family val="2"/>
          </rPr>
          <t>Henrik Carlsson:</t>
        </r>
        <r>
          <rPr>
            <sz val="9"/>
            <color indexed="81"/>
            <rFont val="Tahoma"/>
            <family val="2"/>
          </rPr>
          <t xml:space="preserve">
I kommunike Q425-siffrorna var avskrivningar fel 4m</t>
        </r>
      </text>
    </comment>
    <comment ref="AN174" authorId="1" shapeId="0" xr:uid="{B3385E6A-9C85-44AB-91A1-89456DD8AACB}">
      <text>
        <r>
          <rPr>
            <b/>
            <sz val="9"/>
            <color indexed="81"/>
            <rFont val="Tahoma"/>
            <family val="2"/>
          </rPr>
          <t>Henrik Carlsson:</t>
        </r>
        <r>
          <rPr>
            <sz val="9"/>
            <color indexed="81"/>
            <rFont val="Tahoma"/>
            <family val="2"/>
          </rPr>
          <t xml:space="preserve">
I kommunike Q425-siffrorna var avskrivningar fel 4m</t>
        </r>
      </text>
    </comment>
    <comment ref="AR174" authorId="1" shapeId="0" xr:uid="{3C39CE89-347D-4C90-8AF3-0AB4C803BE8C}">
      <text>
        <r>
          <rPr>
            <b/>
            <sz val="9"/>
            <color indexed="81"/>
            <rFont val="Tahoma"/>
            <family val="2"/>
          </rPr>
          <t>Henrik Carlsson:</t>
        </r>
        <r>
          <rPr>
            <sz val="9"/>
            <color indexed="81"/>
            <rFont val="Tahoma"/>
            <family val="2"/>
          </rPr>
          <t xml:space="preserve">
Förändring skatt på avvecklad verksamhet i Polen jämfört med Q425 Kommunike.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tc={D7BD39DF-F762-4963-9803-BA5F738CCDD5}</author>
    <author>tc={23049416-15E3-4FBA-96DF-8DFF064A11F6}</author>
  </authors>
  <commentList>
    <comment ref="AV6" authorId="0" shapeId="0" xr:uid="{D7BD39DF-F762-4963-9803-BA5F738CCDD5}">
      <text>
        <t>[Threaded comment]
Your version of Excel allows you to read this threaded comment; however, any edits to it will get removed if the file is opened in a newer version of Excel. Learn more: https://go.microsoft.com/fwlink/?linkid=870924
Comment:
    Ska vi visa på R12-basis?</t>
      </text>
    </comment>
    <comment ref="AJ19" authorId="1" shapeId="0" xr:uid="{23049416-15E3-4FBA-96DF-8DFF064A11F6}">
      <text>
        <t>[Threaded comment]
Your version of Excel allows you to read this threaded comment; however, any edits to it will get removed if the file is opened in a newer version of Excel. Learn more: https://go.microsoft.com/fwlink/?linkid=870924
Comment:
    OBS! Se upp med R12-beräkningen ovan</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tc={113B02DE-47D9-4102-B0EE-BB729396A7F9}</author>
    <author>Per Normann</author>
  </authors>
  <commentList>
    <comment ref="AQ5" authorId="0" shapeId="0" xr:uid="{113B02DE-47D9-4102-B0EE-BB729396A7F9}">
      <text>
        <t>[Threaded comment]
Your version of Excel allows you to read this threaded comment; however, any edits to it will get removed if the file is opened in a newer version of Excel. Learn more: https://go.microsoft.com/fwlink/?linkid=870924
Comment:
    OBS! Se upp med manuell beräkning av R12-siffror!</t>
      </text>
    </comment>
    <comment ref="AS38" authorId="1" shapeId="0" xr:uid="{16E84052-188E-491E-87BE-87997632939C}">
      <text>
        <r>
          <rPr>
            <b/>
            <sz val="9"/>
            <color indexed="81"/>
            <rFont val="Tahoma"/>
            <family val="2"/>
          </rPr>
          <t>Per Normann:</t>
        </r>
        <r>
          <rPr>
            <sz val="9"/>
            <color indexed="81"/>
            <rFont val="Tahoma"/>
            <family val="2"/>
          </rPr>
          <t xml:space="preserve">
Dubbelkolla länkning så att den hämtar korrekt från Delårsrapport. Kolla främst R12</t>
        </r>
      </text>
    </comment>
    <comment ref="AS40" authorId="1" shapeId="0" xr:uid="{9EF9E385-2E72-4E67-A430-177C641E4E6D}">
      <text>
        <r>
          <rPr>
            <b/>
            <sz val="9"/>
            <color indexed="81"/>
            <rFont val="Tahoma"/>
            <family val="2"/>
          </rPr>
          <t>Per Normann:</t>
        </r>
        <r>
          <rPr>
            <sz val="9"/>
            <color indexed="81"/>
            <rFont val="Tahoma"/>
            <family val="2"/>
          </rPr>
          <t xml:space="preserve">
Dubbelkolla länkning så att den hämtar korrekt från Delårsrapport. Kolla främst R12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Per Normann</author>
  </authors>
  <commentList>
    <comment ref="AL31" authorId="0" shapeId="0" xr:uid="{F17D1239-5220-4E08-89CC-F841DA2DABA9}">
      <text>
        <r>
          <rPr>
            <b/>
            <sz val="9"/>
            <color indexed="81"/>
            <rFont val="Tahoma"/>
            <family val="2"/>
          </rPr>
          <t>Per Normann:</t>
        </r>
        <r>
          <rPr>
            <sz val="9"/>
            <color indexed="81"/>
            <rFont val="Tahoma"/>
            <family val="2"/>
          </rPr>
          <t xml:space="preserve">
Rad 26 länkas till Rad 23 i tabellen. Rad 29 är Summarad (ej länkad!)</t>
        </r>
      </text>
    </comment>
    <comment ref="AL34" authorId="0" shapeId="0" xr:uid="{D6DCA283-5FB0-415D-AC80-1F45A6689CB4}">
      <text>
        <r>
          <rPr>
            <b/>
            <sz val="9"/>
            <color indexed="81"/>
            <rFont val="Tahoma"/>
            <family val="2"/>
          </rPr>
          <t>Per Normann:</t>
        </r>
        <r>
          <rPr>
            <sz val="9"/>
            <color indexed="81"/>
            <rFont val="Tahoma"/>
            <family val="2"/>
          </rPr>
          <t xml:space="preserve">
Rad 26 länkas till Rad 23 i tabellen. Rad 29 är Summarad (ej länkad!)</t>
        </r>
      </text>
    </comment>
  </commentList>
</comments>
</file>

<file path=xl/sharedStrings.xml><?xml version="1.0" encoding="utf-8"?>
<sst xmlns="http://schemas.openxmlformats.org/spreadsheetml/2006/main" count="3050" uniqueCount="949">
  <si>
    <t>A</t>
  </si>
  <si>
    <t>B</t>
  </si>
  <si>
    <t>Intäkter, Mkr</t>
  </si>
  <si>
    <t>Alternativa nyckeltal*</t>
  </si>
  <si>
    <t>Operativt resultat efter kalkylmässiga avskrivningar*, Mkr</t>
  </si>
  <si>
    <t>och motsvarande andel av intäkterna, %</t>
  </si>
  <si>
    <t>Realiserat resultat från riskutsatt metallposition*, Mkr**</t>
  </si>
  <si>
    <t>Jämförelsestörande post beroende på upplösning av tidigare periodisering, Mkr</t>
  </si>
  <si>
    <t>Kalkylmässiga avskrivningar - bokföringsmässiga avskrivningar, Mkr</t>
  </si>
  <si>
    <t>Bokföringsmässigt resultat</t>
  </si>
  <si>
    <t>Resultat före av- och nedskrivningar (EBITDA), Mkr</t>
  </si>
  <si>
    <t>Rörelseresultat (EBIT), Mkr</t>
  </si>
  <si>
    <t>Resultat efter finansiella poster och skatt, Mkr</t>
  </si>
  <si>
    <t>Resultat per aktie, kr (ingen utspädning finns)</t>
  </si>
  <si>
    <t>Resultat per aktie exklusive avvecklad verksamhet</t>
  </si>
  <si>
    <t>Finansiellt</t>
  </si>
  <si>
    <t>Nettoskuld, Mkr</t>
  </si>
  <si>
    <t>-</t>
  </si>
  <si>
    <t>EBITDA R12, Mkr</t>
  </si>
  <si>
    <t>OBS R12 fg ej länkat, anges manuellt</t>
  </si>
  <si>
    <t>Nettoskuld/EBITDA, Mål &lt; 2</t>
  </si>
  <si>
    <t>Likviditetsreserv, Mkr</t>
  </si>
  <si>
    <t>Kvartal 4</t>
  </si>
  <si>
    <t>Kvartal 1-4</t>
  </si>
  <si>
    <t>EBITDA, Mkr</t>
  </si>
  <si>
    <t>varav realiserat resultat av riskutsatt metallposition, Mkr</t>
  </si>
  <si>
    <t>IFRS</t>
  </si>
  <si>
    <t>Periodens resultat av kvarvarande verksamhet, Mkr</t>
  </si>
  <si>
    <t>Resultat per aktie från kvarvarande verksamhet, kr (ingen utspädning finns)</t>
  </si>
  <si>
    <t>Avkastning från kvarvarande verksamhet på eget kapital, %</t>
  </si>
  <si>
    <t>Periodens resultat, Mkr</t>
  </si>
  <si>
    <t>Periodens resultat per aktie, kr (ingen utspädning finns)</t>
  </si>
  <si>
    <t>Helår</t>
  </si>
  <si>
    <t>Avkastning på eget kapital, %</t>
  </si>
  <si>
    <t>Eget kapital hänförligt till moderbolagets aktieägare, Mkr</t>
  </si>
  <si>
    <t>Eget kapital per aktie, kr</t>
  </si>
  <si>
    <t>Balansomslutning</t>
  </si>
  <si>
    <t>Instructions</t>
  </si>
  <si>
    <t>Nedan instruktioner är en fortsättning på de instruktioner som ligger på fliken "Instructions" i "RANMaster"-file.</t>
  </si>
  <si>
    <t>Flik</t>
  </si>
  <si>
    <t>Sektion</t>
  </si>
  <si>
    <t>Beskrivning</t>
  </si>
  <si>
    <t>"Avskrivningar"</t>
  </si>
  <si>
    <t>Sektion [A]</t>
  </si>
  <si>
    <t>"Input &amp; Calc"</t>
  </si>
  <si>
    <t xml:space="preserve">Lägg in IFRS-siffror. </t>
  </si>
  <si>
    <t>Lägg in RAN-justeringar</t>
  </si>
  <si>
    <t>Lägg in ev. manuella omklassar/justeringar</t>
  </si>
  <si>
    <t>Review:a / stäm av dina siffror.</t>
  </si>
  <si>
    <t>Sektion [B]</t>
  </si>
  <si>
    <t>RAN "Phasing"</t>
  </si>
  <si>
    <t xml:space="preserve">Nedbrytning av siffror (IFRS resp. RAN) på QTD-basis. </t>
  </si>
  <si>
    <t>Dessa feedar vidare i modellen till "Koncern RR" (Sektion [B])</t>
  </si>
  <si>
    <t>"Koncern RR"</t>
  </si>
  <si>
    <t>Sektion [A1]</t>
  </si>
  <si>
    <t>Koncernens resultaträkning i sammandrag (IFRS)</t>
  </si>
  <si>
    <t>Fyll i sektionen "under" IFRS-tabellen och kontrollräkna EBITDA och EBIT</t>
  </si>
  <si>
    <t>Beräkna "Periodens totalresultat per aktie, kr" under tabellen (manuell formel)</t>
  </si>
  <si>
    <t>Sektion [A2]</t>
  </si>
  <si>
    <t>IFRS Output (SE)</t>
  </si>
  <si>
    <t>"Output"-tabell - manuellt länka från sektion [A1]</t>
  </si>
  <si>
    <t>Sektion [A3]</t>
  </si>
  <si>
    <t>IFRS Output (EN)</t>
  </si>
  <si>
    <t>Kostnad för sålda varor exkl avskrivningar</t>
  </si>
  <si>
    <t>Justering avskrivningar</t>
  </si>
  <si>
    <t>Inkomstskatt på kvarvvarande verksamhet</t>
  </si>
  <si>
    <t>Deltat mellan RAN och IFRS på Inkomstskatt på kvarvarande verksamhet räknas ut på separat rad. Dvs "residual".</t>
  </si>
  <si>
    <t>Skatt på avvecklad verksamhet</t>
  </si>
  <si>
    <t>Deltat mellan RAN och IFRS på Inkomstskatt på avvecklad verksamhet räknas ut på separat rad. Dvs "residual".</t>
  </si>
  <si>
    <t>Sektion [C]</t>
  </si>
  <si>
    <t>Kontrollräkna P&amp;L</t>
  </si>
  <si>
    <t>Gå igenom alla rader + beräkningar!! I grunden är de flesta en funktion av [A] + [B] men det är många "känsliga" rader bör kontrollräknas!!!</t>
  </si>
  <si>
    <t>Se upp med beräkning av Skatt på kvarvarande verksamhet (för RAN) vilken beräknas separat "under" själva tabellen</t>
  </si>
  <si>
    <t>-II-</t>
  </si>
  <si>
    <t>Försäljnings- och administrationskostnader</t>
  </si>
  <si>
    <t>Notera även att raden "Försäljnings- och administrationskostnader" måste summera 2 rader från IFRS-P&amp;L:en för att den ska bli korrekt.</t>
  </si>
  <si>
    <t>Split Minoritet/Majoritet</t>
  </si>
  <si>
    <t>Antalet aktier</t>
  </si>
  <si>
    <t xml:space="preserve">Under själva tabellen, lägg in antalet aktier för perioden </t>
  </si>
  <si>
    <t>Sektion [D]</t>
  </si>
  <si>
    <t>"Output"-tabell</t>
  </si>
  <si>
    <t>"Output"-tabell - manuellt länka från sektion [C]</t>
  </si>
  <si>
    <t>Sektion [E]</t>
  </si>
  <si>
    <t>Sektion [F]</t>
  </si>
  <si>
    <t>"Bullet"-tabell (SE)</t>
  </si>
  <si>
    <t>Länka korrekt till sektion [H]</t>
  </si>
  <si>
    <t>Sektion [G]</t>
  </si>
  <si>
    <t>"Bullet"-tabell (EN)</t>
  </si>
  <si>
    <t>Sektion [H]/[I]</t>
  </si>
  <si>
    <t>Nyckeltalstabell (SE) / (EN)</t>
  </si>
  <si>
    <t xml:space="preserve">Beräkna samtliga nyckeltal för både QTD, YTD  och R12 om tillämpligt. </t>
  </si>
  <si>
    <t>Notera att många beräkningar ligger "under" själva tabellen som presenteras och kan behöva lite manuell handpåläggning.</t>
  </si>
  <si>
    <t>Sektion [J]</t>
  </si>
  <si>
    <t>IFRS Adjustments</t>
  </si>
  <si>
    <t>"Starting Point"-siffrorna till IFRS/RAN-bryggan måste justeras så att bryggan blir "Like-For-Like"</t>
  </si>
  <si>
    <t>Sektion [K]</t>
  </si>
  <si>
    <t>RAN Adjustments</t>
  </si>
  <si>
    <t>Sektion [L]</t>
  </si>
  <si>
    <t>RAN Bridge (SE)</t>
  </si>
  <si>
    <t>"Output"-tabell - manuellt länka från sektion [K]</t>
  </si>
  <si>
    <t>Sektion [M]</t>
  </si>
  <si>
    <t>RAN Bridge (EN)</t>
  </si>
  <si>
    <t>"Koncern BR"</t>
  </si>
  <si>
    <t>Koncernens finansiella ställning i sammandrag (IFRS)</t>
  </si>
  <si>
    <t>Majoriteten av celler länkar in från Accountings fil "Delårsrapport".</t>
  </si>
  <si>
    <t>Notera att detta görs på "YTD"-nivå för BR (dvs inget "QTD-tänk")</t>
  </si>
  <si>
    <t>RAN Reported</t>
  </si>
  <si>
    <t>1 justering ("bokning") görs i BR:</t>
  </si>
  <si>
    <t>Uppvärdering av Immateriella + Materiella Anläggningstillgångar (motbokning EK + Skatteskuld). "Build-up" finns under själva tabellen.</t>
  </si>
  <si>
    <t>Notera att eftersom vi bara har "helårsvärden" för 2023, 2024 och 2025 har jobbat med "Reverse Engineering" för att få fram kvartalssiffror bakåt i tiden för 2023-2025!</t>
  </si>
  <si>
    <t xml:space="preserve">∆ RAN vs IFRS </t>
  </si>
  <si>
    <t>RAN Output BR (SE)</t>
  </si>
  <si>
    <t>"Output"-tabell - manuellt länka från sektion [B].</t>
  </si>
  <si>
    <t>RAN Output BR (EN)</t>
  </si>
  <si>
    <t>Koncern EK</t>
  </si>
  <si>
    <t>Länkad till fil "Delårsrapport"</t>
  </si>
  <si>
    <t>Koncern KFA</t>
  </si>
  <si>
    <t>MB RR</t>
  </si>
  <si>
    <t>MB BR</t>
  </si>
  <si>
    <t>Not 2</t>
  </si>
  <si>
    <t>Not 3</t>
  </si>
  <si>
    <t>Not 4</t>
  </si>
  <si>
    <t>Not 5</t>
  </si>
  <si>
    <t>Not 6</t>
  </si>
  <si>
    <t>Not 9 - Polen</t>
  </si>
  <si>
    <t>Länkad till fil "Not 9 Avvecklad verksamhet"</t>
  </si>
  <si>
    <t>"Direkt" länkad till fil "Not 9 Avvecklad verksamhet".</t>
  </si>
  <si>
    <t>Checklista Delårsrapport</t>
  </si>
  <si>
    <t>SE-version</t>
  </si>
  <si>
    <t>EN-version</t>
  </si>
  <si>
    <t>Sidfot</t>
  </si>
  <si>
    <t>Uppdatera datum</t>
  </si>
  <si>
    <t>Språk-Inställningar</t>
  </si>
  <si>
    <t>Tusentalsavgränsare</t>
  </si>
  <si>
    <t>Blank space</t>
  </si>
  <si>
    <t>Komma</t>
  </si>
  <si>
    <t>Punkt</t>
  </si>
  <si>
    <t>Decimal</t>
  </si>
  <si>
    <t>Centrering</t>
  </si>
  <si>
    <t>Högerjustering på siffror + rubrik (undantag Bullet-tabell sid 1)</t>
  </si>
  <si>
    <t>Kolumnbredd</t>
  </si>
  <si>
    <t>Se upp med "Dolda" rader i Excel!!!</t>
  </si>
  <si>
    <t>Inklistrad bild till Word</t>
  </si>
  <si>
    <t>Använd "As shown when printed" för bästa kvalité</t>
  </si>
  <si>
    <t>Zooma inklistrad bild i Word</t>
  </si>
  <si>
    <t>Ex. BR kan behövas göras större än 100%</t>
  </si>
  <si>
    <t>Försäljning &amp; Admin inhyrd personal</t>
  </si>
  <si>
    <t>IT-kostnader, uppgradering</t>
  </si>
  <si>
    <t>Konsultarvoden Polen</t>
  </si>
  <si>
    <t>lön under uppsägning</t>
  </si>
  <si>
    <t>SG&amp;A</t>
  </si>
  <si>
    <t>[A] Input &amp; Calc</t>
  </si>
  <si>
    <t>[B] RAN "Phasing" (Feeding to "Koncern RR")</t>
  </si>
  <si>
    <r>
      <rPr>
        <b/>
        <i/>
        <sz val="11"/>
        <color rgb="FFFF0000"/>
        <rFont val="Calibri"/>
        <family val="2"/>
        <scheme val="minor"/>
      </rPr>
      <t>&lt;NOTE&gt;</t>
    </r>
    <r>
      <rPr>
        <b/>
        <i/>
        <sz val="11"/>
        <color theme="1"/>
        <rFont val="Calibri"/>
        <family val="2"/>
        <scheme val="minor"/>
      </rPr>
      <t xml:space="preserve"> Sammanställning nedan hämtad från RAN-noter i fil "RANMaster"</t>
    </r>
  </si>
  <si>
    <r>
      <rPr>
        <b/>
        <i/>
        <sz val="11"/>
        <color rgb="FFFF0000"/>
        <rFont val="Calibri"/>
        <family val="2"/>
        <scheme val="minor"/>
      </rPr>
      <t>&lt;NOTE&gt;</t>
    </r>
    <r>
      <rPr>
        <b/>
        <i/>
        <sz val="11"/>
        <color theme="1"/>
        <rFont val="Calibri"/>
        <family val="2"/>
        <scheme val="minor"/>
      </rPr>
      <t xml:space="preserve"> This section is feeding to tab "Koncern RR", section [B]</t>
    </r>
  </si>
  <si>
    <t>RAN</t>
  </si>
  <si>
    <t>∆</t>
  </si>
  <si>
    <t>Report</t>
  </si>
  <si>
    <t>Reported</t>
  </si>
  <si>
    <t>YTD</t>
  </si>
  <si>
    <t>QTD</t>
  </si>
  <si>
    <t>Avskrivningar IT-system</t>
  </si>
  <si>
    <t>Avskrivningar [B ] RAN Calc: Byggnader och mark</t>
  </si>
  <si>
    <t>Avskrivningar [B ] RAN Calc: Maskiner och inventarier</t>
  </si>
  <si>
    <t>Avskrivningar Nyttjanderättstillgångar</t>
  </si>
  <si>
    <t>Totala avskrivningar</t>
  </si>
  <si>
    <t>[A]</t>
  </si>
  <si>
    <t>IFRS-siffror</t>
  </si>
  <si>
    <t>IT-System</t>
  </si>
  <si>
    <t>Byggnader och Mark</t>
  </si>
  <si>
    <t>Maskiner och inventarier</t>
  </si>
  <si>
    <t>Nyttjanderättstillgångar</t>
  </si>
  <si>
    <t xml:space="preserve">Totala avskrivningar </t>
  </si>
  <si>
    <t>[B]</t>
  </si>
  <si>
    <t>RAN Justering (from "RANMaster" file)</t>
  </si>
  <si>
    <t>[C]</t>
  </si>
  <si>
    <t>Justering / Omklass</t>
  </si>
  <si>
    <t>[D]</t>
  </si>
  <si>
    <t>RAN Reporting</t>
  </si>
  <si>
    <t>[E]</t>
  </si>
  <si>
    <t>ÅR 2025</t>
  </si>
  <si>
    <t>Check:</t>
  </si>
  <si>
    <t>1. IFRS -&gt; RAN Siffror</t>
  </si>
  <si>
    <t>[A1] IFRS Input from "Delarsapport 2025"</t>
  </si>
  <si>
    <t>[A2] IFRS Output (SE)</t>
  </si>
  <si>
    <t>[A3] IFRS Output (EN)</t>
  </si>
  <si>
    <t>[B] RAN Adjustments</t>
  </si>
  <si>
    <t>[C] Full RAN P&amp;L</t>
  </si>
  <si>
    <t>Check</t>
  </si>
  <si>
    <t>[D] RAN Output (SE)</t>
  </si>
  <si>
    <t>[E] RAN Output (EN)</t>
  </si>
  <si>
    <t>[I] Nyckeltalstabell EN</t>
  </si>
  <si>
    <t>[L] RAN Bridge (SE)</t>
  </si>
  <si>
    <t>[M] RAN Bridge (EN)</t>
  </si>
  <si>
    <t>Rows</t>
  </si>
  <si>
    <t>Koncernens rättvisande alternativa resultaträkning och övrigt totalresultat</t>
  </si>
  <si>
    <t>Statement of comprehensive income in short (IFRS)</t>
  </si>
  <si>
    <t>Brygga mellan koncernens resultat (IFRS) och alternativ redovisning</t>
  </si>
  <si>
    <t>Kvartal 2</t>
  </si>
  <si>
    <t>Kvartal 2, R12</t>
  </si>
  <si>
    <t>Q2</t>
  </si>
  <si>
    <t>Q1-Q2</t>
  </si>
  <si>
    <t>Q2, R12</t>
  </si>
  <si>
    <t>Full Year</t>
  </si>
  <si>
    <t>Q1</t>
  </si>
  <si>
    <t>Q1, R12</t>
  </si>
  <si>
    <t>Nyckeltal - gemensamma för rättvisande alternativa nyckeltal och enligt bokföring (IFRS)</t>
  </si>
  <si>
    <t>Kvartal 1</t>
  </si>
  <si>
    <t>Key ratios 
- common for fair alternative result (APM) and IFRS</t>
  </si>
  <si>
    <t>R12, Q1</t>
  </si>
  <si>
    <t>Nyckeltal</t>
  </si>
  <si>
    <t>Key Ratios</t>
  </si>
  <si>
    <t>Return on Equity (after tax) based on Net Income for the period (after tax), %</t>
  </si>
  <si>
    <t>Enl IFRS</t>
  </si>
  <si>
    <t>Justering</t>
  </si>
  <si>
    <t>Alternativt</t>
  </si>
  <si>
    <t>Adjustments</t>
  </si>
  <si>
    <t>APM</t>
  </si>
  <si>
    <t>MSEK</t>
  </si>
  <si>
    <t>Note</t>
  </si>
  <si>
    <t>Kvartal 1-2</t>
  </si>
  <si>
    <t>Mkr</t>
  </si>
  <si>
    <t>Kvartal 2, 2026</t>
  </si>
  <si>
    <t>Net turnover</t>
  </si>
  <si>
    <t>Intäkter</t>
  </si>
  <si>
    <t>Nyckeltal (gemensamma för båda rapporteringarna)</t>
  </si>
  <si>
    <t>Common key ratios (both methodologies)</t>
  </si>
  <si>
    <t xml:space="preserve">Cost of goods solds </t>
  </si>
  <si>
    <t>Cost of goods sold</t>
  </si>
  <si>
    <t>EBITDA</t>
  </si>
  <si>
    <t>Cost of goods sold excluded depreciations</t>
  </si>
  <si>
    <t>Gross Margin</t>
  </si>
  <si>
    <t>Bruttoresultat exklusive avskrivningar</t>
  </si>
  <si>
    <t>Gross Margin excluded depreciations</t>
  </si>
  <si>
    <t xml:space="preserve">Other operating revenues </t>
  </si>
  <si>
    <t>Övriga rörelseintäkter</t>
  </si>
  <si>
    <t>Rättvisande alternativt resultat</t>
  </si>
  <si>
    <t>Fair alternative result (APM)</t>
  </si>
  <si>
    <t>Kassaflöde från den löpande verksamheten, Mkr</t>
  </si>
  <si>
    <t>Cash flow from operating activites, MSEK</t>
  </si>
  <si>
    <t>Other operating revenues</t>
  </si>
  <si>
    <t>Selling expenses</t>
  </si>
  <si>
    <t>Selling and adminstrative expenses</t>
  </si>
  <si>
    <t>Investeringar, Mkr</t>
  </si>
  <si>
    <t>Investments, MSEK</t>
  </si>
  <si>
    <t>Selling and administrative expenses</t>
  </si>
  <si>
    <t>Administrative expenses</t>
  </si>
  <si>
    <t>[OBS! EXTRA RAD MANUELLT INLAGD]</t>
  </si>
  <si>
    <t>Rörelseresultat, Mkr</t>
  </si>
  <si>
    <t>Income after financial items, MSEK</t>
  </si>
  <si>
    <t>Other operating expenses</t>
  </si>
  <si>
    <t>Övriga rörelsekostnader</t>
  </si>
  <si>
    <t>Periodens resultat (efter skatt), Mkr</t>
  </si>
  <si>
    <t>Net Income for the period, MSEK</t>
  </si>
  <si>
    <t>Liquidity reserve, MSEK</t>
  </si>
  <si>
    <t>Operating profit/loss</t>
  </si>
  <si>
    <t>Rörelseresultat före avskrivningar</t>
  </si>
  <si>
    <t>Periodens resultat av kvarvarande verksamhet (efter skatt), Mkr</t>
  </si>
  <si>
    <t>Net income for the period related to continuing operations, MSEK</t>
  </si>
  <si>
    <t>Räntebärande nettoskuld, Mkr</t>
  </si>
  <si>
    <t>Net debt, MSEK</t>
  </si>
  <si>
    <t>Kalkylmässiga avskrivningar</t>
  </si>
  <si>
    <t>Imputed depreciation</t>
  </si>
  <si>
    <t>Resultat per aktie från kvarvarande verksamhet efter skatt, kr (ingen utspädning finns)</t>
  </si>
  <si>
    <t>Earnings per share from continuing operations, SEK</t>
  </si>
  <si>
    <t>Nettoskuld/EBITDA, ggr</t>
  </si>
  <si>
    <t>Net debt/equity ratio</t>
  </si>
  <si>
    <t>Avskrivningar</t>
  </si>
  <si>
    <t>Depreciations</t>
  </si>
  <si>
    <t>varav avskrivningar immateriella anläggningstillgångar</t>
  </si>
  <si>
    <t>depreciations intangible assets</t>
  </si>
  <si>
    <t>Periodens resultat per aktie efter skatt, kr (ingen utspädning finns)</t>
  </si>
  <si>
    <t>Earnings per share, kr</t>
  </si>
  <si>
    <t>Räntebärande skulder och räntebärande avsättningar, Mkr</t>
  </si>
  <si>
    <t>Interest-bearing liabilities and interest-bearing provisions, MSEK</t>
  </si>
  <si>
    <t>Depreciations intangible assets</t>
  </si>
  <si>
    <t>varav avskrivningar fastigheter</t>
  </si>
  <si>
    <t>depreciations building and property</t>
  </si>
  <si>
    <t xml:space="preserve">Avkastning på eget kapital (efter skatt) baserat på periodens resultat (efter skatt) % </t>
  </si>
  <si>
    <t>Medelantal anställda (motsvarande heltidstjänster)</t>
  </si>
  <si>
    <t>Average number of employees</t>
  </si>
  <si>
    <t>Depreciations building and property</t>
  </si>
  <si>
    <t>varav avskrivningar maskiner och inventarier</t>
  </si>
  <si>
    <t>depreciations machinery and equipment</t>
  </si>
  <si>
    <t>Rättvisande alternativ finansiell ställning</t>
  </si>
  <si>
    <t>Fair alternative financial position (APM)</t>
  </si>
  <si>
    <t>Intäkter per anställd (medelantal), Tkr</t>
  </si>
  <si>
    <t>Net turnover per employee (average) TSEK</t>
  </si>
  <si>
    <t>Depreciations machinery and equipment</t>
  </si>
  <si>
    <t>varav avskrivningar nyttjanderättstillgångar</t>
  </si>
  <si>
    <t>depreciations right-of-use assets</t>
  </si>
  <si>
    <t>Genomsnittligt antal aktier, tusental (Ingen utspädning finns)</t>
  </si>
  <si>
    <t>Average number of shares, thousands (no dilution)</t>
  </si>
  <si>
    <t>Depreciations right-of-use assets</t>
  </si>
  <si>
    <t>Rörelseresultat</t>
  </si>
  <si>
    <t>Total equity attributable to the parent Company's shareholders</t>
  </si>
  <si>
    <t>Antal aktier vid periodens slut, tusental</t>
  </si>
  <si>
    <t>Number of shares by the end of the period, thousands</t>
  </si>
  <si>
    <t>Operating Profit/Loss</t>
  </si>
  <si>
    <t>Financial income</t>
  </si>
  <si>
    <t>Finansiella intäkter</t>
  </si>
  <si>
    <t>Equity per share, kr</t>
  </si>
  <si>
    <t>Financial expenses</t>
  </si>
  <si>
    <t>Finansiella kostnader</t>
  </si>
  <si>
    <t>Balansomslutning, Mkr</t>
  </si>
  <si>
    <t>Total assets, MSEK</t>
  </si>
  <si>
    <t>Net financial income/expense</t>
  </si>
  <si>
    <t>Finansiella poster</t>
  </si>
  <si>
    <t>Net financial income/expenses</t>
  </si>
  <si>
    <t>Nyckeltal (rättvisande alternativa)</t>
  </si>
  <si>
    <t>Key ratios (APM)</t>
  </si>
  <si>
    <t>Income after financial items</t>
  </si>
  <si>
    <t>Resultat före skatt</t>
  </si>
  <si>
    <t>Resultat enligt bokföring (IFRS)</t>
  </si>
  <si>
    <t>Accounting result (IFRS)</t>
  </si>
  <si>
    <t>Operating income/loss, MSEK</t>
  </si>
  <si>
    <t>Income tax from continuing operations</t>
  </si>
  <si>
    <t>Inkomstskatt på kvarvarande verksamhet</t>
  </si>
  <si>
    <t>Net income for the period, MSEK</t>
  </si>
  <si>
    <t>Income tax for continuing operations</t>
  </si>
  <si>
    <t>Periodens resultat från kvarvarande verksamhet (efter skatt)</t>
  </si>
  <si>
    <t>Profit for the period from continuing operations</t>
  </si>
  <si>
    <t>Periodens resultat av kvarvarande verksamhet</t>
  </si>
  <si>
    <t>Loss for the period from discontinued operations</t>
  </si>
  <si>
    <t>Periodens resultat från avvecklad verksamhet</t>
  </si>
  <si>
    <t>Rörelsemarginal, %</t>
  </si>
  <si>
    <t>Operating margin, %</t>
  </si>
  <si>
    <t>Loss for the period from the discontinued operations</t>
  </si>
  <si>
    <t>Income tax from discontinued operations</t>
  </si>
  <si>
    <t>Resultat före skatt, Mkr</t>
  </si>
  <si>
    <t>Periodens resultat från avvecklad verksamhet (efter skatt)</t>
  </si>
  <si>
    <t>Resultatmarginal, %</t>
  </si>
  <si>
    <t>Profit Margin, %</t>
  </si>
  <si>
    <t>Periodens resultat efter skatt</t>
  </si>
  <si>
    <t>Net income for the period</t>
  </si>
  <si>
    <t>Periodens resultat (efter skatt)</t>
  </si>
  <si>
    <t>of which attributable to:</t>
  </si>
  <si>
    <t>Varav hänförligt till:</t>
  </si>
  <si>
    <t>of which attributable to</t>
  </si>
  <si>
    <t>Owners of the parent</t>
  </si>
  <si>
    <t>Moderbolagets ägare</t>
  </si>
  <si>
    <t>Finansiell ställning enligt bokföring (IFRS)</t>
  </si>
  <si>
    <t>Financial position (IFRS)</t>
  </si>
  <si>
    <t>Avkastning på sysselsatt kapital, %</t>
  </si>
  <si>
    <t>Return on Capital Employed, %</t>
  </si>
  <si>
    <t>Non-controlling interests</t>
  </si>
  <si>
    <t>Innehav utan bestämmande inflytande</t>
  </si>
  <si>
    <t>Non-Controlling interests</t>
  </si>
  <si>
    <t>Earnings per share (before and after dilution), SEK</t>
  </si>
  <si>
    <t>från kvarvarande verksamhet efter skatt, kr</t>
  </si>
  <si>
    <t>-from continuing operations, SEK</t>
  </si>
  <si>
    <t>Resultat per aktie från kvarvarande verksamhet (efter skatt), kr*</t>
  </si>
  <si>
    <t>Total equity attributable to the parent Company´s shareholders</t>
  </si>
  <si>
    <t>Earnings per share from continuing operations</t>
  </si>
  <si>
    <t>från avvecklad verksamhet efter skatt, kr</t>
  </si>
  <si>
    <t>-from discontinued operations, SEK</t>
  </si>
  <si>
    <t>Resultat per aktie från avvecklad verksamhet (efter skatt), kr*</t>
  </si>
  <si>
    <t>Soliditet, %</t>
  </si>
  <si>
    <t>Equity ratio, %</t>
  </si>
  <si>
    <t>Earnings per share from discontinued operations</t>
  </si>
  <si>
    <t>Total</t>
  </si>
  <si>
    <t>Periodens resultat per aktie (efter skatt), kr*</t>
  </si>
  <si>
    <t>Nettoskuldsättningsgrad, ggr</t>
  </si>
  <si>
    <t xml:space="preserve">* Avkastning på eget kapital beräknas som periodens resultat (efter skatt) i procent av genomsnittligt eget kapital under perioden. </t>
  </si>
  <si>
    <t>*Return on Equity is calculated as the net income for the period (after tax) as a percentage of average equity for the period.</t>
  </si>
  <si>
    <t>Kapitalomsättningshastighet</t>
  </si>
  <si>
    <t>Capital turnover</t>
  </si>
  <si>
    <t>Other comprehensive income</t>
  </si>
  <si>
    <t>Övrigt totalresultat</t>
  </si>
  <si>
    <t>Andel riskbärande kapital</t>
  </si>
  <si>
    <t>Proportion of risk-bearing capital, %</t>
  </si>
  <si>
    <t>Periodens resultat</t>
  </si>
  <si>
    <t>Ränteteckningsgrad</t>
  </si>
  <si>
    <t>Interest coverage ratio</t>
  </si>
  <si>
    <t>Hedging reserve</t>
  </si>
  <si>
    <t>Säkringsreserv</t>
  </si>
  <si>
    <t>Heding reserve</t>
  </si>
  <si>
    <t>Translation differences</t>
  </si>
  <si>
    <t>Omräkningsreserv</t>
  </si>
  <si>
    <t>Equity per share, SEK</t>
  </si>
  <si>
    <t xml:space="preserve">Deferred tax on the above items </t>
  </si>
  <si>
    <t>Uppskjuten skatt på ovanstående</t>
  </si>
  <si>
    <t>Deferred tax on the above items</t>
  </si>
  <si>
    <t>Resultat per aktie från kvarvarande verksamhet efter skatt, kr</t>
  </si>
  <si>
    <t>Total items that will subsequently be reclassified to net income:</t>
  </si>
  <si>
    <t>Summa poster som kommer att omklassificeras till nettoresultatet:</t>
  </si>
  <si>
    <t>Total items that will subsequently be reclassified to net income</t>
  </si>
  <si>
    <t>Resultat per aktie från avvecklad verksamhet efter skatt, kr</t>
  </si>
  <si>
    <t>Revaluation of defined benefit pension obligation</t>
  </si>
  <si>
    <t>Omvärderingar av förmånsbestämda pensionsåtaganden</t>
  </si>
  <si>
    <t>Periodens resultat per aktie efter skatt, kr</t>
  </si>
  <si>
    <t>Earnings per share, SEK</t>
  </si>
  <si>
    <t>Total items that will subsequently not be reclassified to net income:</t>
  </si>
  <si>
    <t>Summa poster som inte kommer att omklassificeras till nettoresultatet:</t>
  </si>
  <si>
    <t>Total items that will subsequently not be reclassified to net income</t>
  </si>
  <si>
    <t>Total other comprehensive income</t>
  </si>
  <si>
    <t>Summa övrigt totalresultat</t>
  </si>
  <si>
    <t>Comprehensive income for the period</t>
  </si>
  <si>
    <t>Periodens totalresultat</t>
  </si>
  <si>
    <t>Nyckeltal (bokföringsmässiga enligt IFRS)</t>
  </si>
  <si>
    <t>Key ratios (IFRS)</t>
  </si>
  <si>
    <t>of which total comprehensive income for the period attributable to:</t>
  </si>
  <si>
    <t>Varav periodens totalresultat hänförligt till:</t>
  </si>
  <si>
    <t>Periodens totalresulat per aktie, kr*</t>
  </si>
  <si>
    <t>Earnings per share (comprehensive income), SEK</t>
  </si>
  <si>
    <t>*Ingen utspädning finns</t>
  </si>
  <si>
    <t>SE Bolagsskatt (%)</t>
  </si>
  <si>
    <t>EBITDA IFRS "framräknat" enligt ovan</t>
  </si>
  <si>
    <t>PL Bolagsskatt (%)</t>
  </si>
  <si>
    <t>EBITDA enligt Accounting (Fil "Delårsrapport")</t>
  </si>
  <si>
    <t>RAN Skatt Kvarvarande Verksamhet</t>
  </si>
  <si>
    <t>RAN Skatt Avvecklad Verksamhet</t>
  </si>
  <si>
    <t>EBIT</t>
  </si>
  <si>
    <t>RAN Skatt</t>
  </si>
  <si>
    <t>Kapitalomsättningshastighet, ggr</t>
  </si>
  <si>
    <t>Andel riskbärande kapital, %</t>
  </si>
  <si>
    <t>Räntetäckningsgrad, ggr</t>
  </si>
  <si>
    <t>* Avkastning på eget kapital beräknas som periodens resultat efter skatt i procent av genomsnittligt eget</t>
  </si>
  <si>
    <t>kapital under perioden. Vid beräkning av nyckeltalet för ett enskilt kvartal så extrapoleras kvartalets resultat</t>
  </si>
  <si>
    <t xml:space="preserve">efter skatt för att uppnå en fullårseffekt. Vid beräkning av nyckeltalet för R12 så används resultat efter skatt </t>
  </si>
  <si>
    <t>för de senaste fyra kvartalen.</t>
  </si>
  <si>
    <t>[1] Nyckeltalsberäkningar Gemensamma</t>
  </si>
  <si>
    <t>- Kassa &amp; Bank</t>
  </si>
  <si>
    <t>Räntebärande nettoskuld</t>
  </si>
  <si>
    <t>Räntebärande skulder och avsättningar</t>
  </si>
  <si>
    <t>+Balansomslutning</t>
  </si>
  <si>
    <t>-Ej Räntebärande skulder långfristiga</t>
  </si>
  <si>
    <t>-Ej Räntebärande skulder kortfristiga</t>
  </si>
  <si>
    <t>Sysselsatt kapital</t>
  </si>
  <si>
    <t>Summa eget kapital</t>
  </si>
  <si>
    <t>Uppskjuten skatt</t>
  </si>
  <si>
    <t>-Ej räntebärande långfristiga</t>
  </si>
  <si>
    <t>-Ej räntebärande kortfristiga</t>
  </si>
  <si>
    <t>Sysselsattkapital</t>
  </si>
  <si>
    <t>+Eget kapital</t>
  </si>
  <si>
    <t>[4] Nyckeltal Metall vs Operativ</t>
  </si>
  <si>
    <t>Skatt</t>
  </si>
  <si>
    <t>[A] Resultat Metallposition</t>
  </si>
  <si>
    <t>[B] Resultat kvarvarande verksamhet</t>
  </si>
  <si>
    <t>Metall</t>
  </si>
  <si>
    <t>[C] Antal aktier</t>
  </si>
  <si>
    <t>[D] 'Resultat / Antal aktier</t>
  </si>
  <si>
    <t>Date ("YYMM")</t>
  </si>
  <si>
    <t>[D.] RAN Output BR (SE)</t>
  </si>
  <si>
    <t>[E.] RAN Output BR (EN)</t>
  </si>
  <si>
    <t>[F] RAN Bridge (SE)</t>
  </si>
  <si>
    <t>[G] RAN Bridge (EN)</t>
  </si>
  <si>
    <t>Koncernens rättvisande alternativa finansiella ställning</t>
  </si>
  <si>
    <t>31 mar</t>
  </si>
  <si>
    <t>30 jun</t>
  </si>
  <si>
    <t>30 sep</t>
  </si>
  <si>
    <t>31 dec</t>
  </si>
  <si>
    <t>Justerat</t>
  </si>
  <si>
    <t>Statement of financial position in short - IFRS &amp; fair alternative value (APM)</t>
  </si>
  <si>
    <t>Adjustment</t>
  </si>
  <si>
    <t>Assets</t>
  </si>
  <si>
    <t>Intangible fixed assets</t>
  </si>
  <si>
    <t>Tangible fixed assets</t>
  </si>
  <si>
    <t>varav byggnader och mark</t>
  </si>
  <si>
    <t>of which buildings and land</t>
  </si>
  <si>
    <t>varav maskiner och inventarier</t>
  </si>
  <si>
    <t>of which machinery and equipment</t>
  </si>
  <si>
    <t>Right of use assets</t>
  </si>
  <si>
    <t>Financial Fixed assets</t>
  </si>
  <si>
    <t>Deferred tax assets</t>
  </si>
  <si>
    <t>Total fixed assets</t>
  </si>
  <si>
    <t>Inventories</t>
  </si>
  <si>
    <t>Current receivables</t>
  </si>
  <si>
    <t>Liquid assets</t>
  </si>
  <si>
    <t>Total current assets</t>
  </si>
  <si>
    <t>Total assets</t>
  </si>
  <si>
    <t>Shareholder's equity</t>
  </si>
  <si>
    <t>Total equity attributable to the parent company</t>
  </si>
  <si>
    <t>varav årets totalresultat hänförligt till moderbolagets aktieägare</t>
  </si>
  <si>
    <t>of which total comprehensive income for the period attributable to owners of the parent</t>
  </si>
  <si>
    <t>varav året totalresultat hänförligt till innehav utan bestämmande inflytande</t>
  </si>
  <si>
    <t>of which total comprehensive income for the period attributable to non-controlling interests</t>
  </si>
  <si>
    <t>Total equity</t>
  </si>
  <si>
    <t>Liabilities</t>
  </si>
  <si>
    <t>Interest-bearing liabilities</t>
  </si>
  <si>
    <t>Interest-free liabilities</t>
  </si>
  <si>
    <t>Total long-term liabilities</t>
  </si>
  <si>
    <t>Interest-bearing liabilities and provisions</t>
  </si>
  <si>
    <t>Total short-term liabilities</t>
  </si>
  <si>
    <t>Total shareholder's equity and liabilities</t>
  </si>
  <si>
    <t>Check: Active = Passive</t>
  </si>
  <si>
    <t>Check: EK 1</t>
  </si>
  <si>
    <t>Check: Tillgångar</t>
  </si>
  <si>
    <t>Check: Skulder</t>
  </si>
  <si>
    <t>Split Minoritet / Majoritet</t>
  </si>
  <si>
    <t>MBs aktieägare</t>
  </si>
  <si>
    <t>Bokförda värden</t>
  </si>
  <si>
    <t xml:space="preserve">Byggnader och Mark </t>
  </si>
  <si>
    <t>Pågående nyanläggning</t>
  </si>
  <si>
    <t>Materiella anläggningstillgångar</t>
  </si>
  <si>
    <t>[1] RAN Immateriella + Materiella A.T. ("Reverese Engineering")</t>
  </si>
  <si>
    <t>Δ 24 vs 23</t>
  </si>
  <si>
    <t>Δ 25 vs 24</t>
  </si>
  <si>
    <t>varav året totalresulatat hänförligt till innehav utan bestämmande inflytande</t>
  </si>
  <si>
    <t>IT System</t>
  </si>
  <si>
    <t>Pågående</t>
  </si>
  <si>
    <t>RAN Adj. (from "RANMaster" file)</t>
  </si>
  <si>
    <t xml:space="preserve"> Kortfristiga tillgångar minus ej räntebärande skulder.</t>
  </si>
  <si>
    <t>[F]</t>
  </si>
  <si>
    <t xml:space="preserve">[G] = [E] + [F] </t>
  </si>
  <si>
    <t>RAN to Report</t>
  </si>
  <si>
    <t>[H] = [A] - [G]</t>
  </si>
  <si>
    <t>[2] Motbokning (EK + Skatteskuld)</t>
  </si>
  <si>
    <t xml:space="preserve">Uppvärdering EK pga RAN-omvärdering av Tillgångar </t>
  </si>
  <si>
    <t>EK-del</t>
  </si>
  <si>
    <t>Skattedel</t>
  </si>
  <si>
    <t>[3] Skattefordran pga ∆ Inkomstskatt"</t>
  </si>
  <si>
    <t>IFRS Skatt Kvarvarande</t>
  </si>
  <si>
    <t>IFRS Skatt Avvecklad</t>
  </si>
  <si>
    <t>IFRS Total Skatt</t>
  </si>
  <si>
    <t>RAN Skatt Kvarvarande</t>
  </si>
  <si>
    <t>RAN Skatt Avvecklad</t>
  </si>
  <si>
    <t>RAN Skatt Total</t>
  </si>
  <si>
    <t>Bolagsskatt</t>
  </si>
  <si>
    <t>RAN Skattefordran / Skatteskuld</t>
  </si>
  <si>
    <t>[4]  Bokning 3: "Plugg"</t>
  </si>
  <si>
    <t>"Plugg"</t>
  </si>
  <si>
    <t>Koncernens förändringar i eget kapital i sammandrag (IFRS)</t>
  </si>
  <si>
    <t>Statement of changes in equity in short (IFRS)</t>
  </si>
  <si>
    <t>Q4</t>
  </si>
  <si>
    <t>Q1-Q4</t>
  </si>
  <si>
    <t>Förändrad skattesats</t>
  </si>
  <si>
    <t>Nyemission/Aktieägartillskott</t>
  </si>
  <si>
    <t>ENGLISH VERSION</t>
  </si>
  <si>
    <t>HÄMTAR EJ FRÅN DELÅRSRAPPORT</t>
  </si>
  <si>
    <t>Cash flow from operating activities, MSEK</t>
  </si>
  <si>
    <t>Key ratios (fair alternative )</t>
  </si>
  <si>
    <t>Avkastning på eget kapital efter skatt, %</t>
  </si>
  <si>
    <t>Key Ratios (IFRS)</t>
  </si>
  <si>
    <t>Avkastning på eget kapital (efter skatt), %</t>
  </si>
  <si>
    <t>Radhöjd 9,6 normal</t>
  </si>
  <si>
    <t>Radhöjd 4,5 blank</t>
  </si>
  <si>
    <t>Koncernens kassaflöde i sammandrag (IFRS)</t>
  </si>
  <si>
    <t>Statement of cash flows in short (IFRS)</t>
  </si>
  <si>
    <t>Kassaflöden från avvecklad verksamhet</t>
  </si>
  <si>
    <t>Cash flow from discontinued operations</t>
  </si>
  <si>
    <t>Full year</t>
  </si>
  <si>
    <t>Kassaflöde från den löpande verksamheten</t>
  </si>
  <si>
    <t>Kassaflöde från investeringsverksamheten</t>
  </si>
  <si>
    <t>Kassaflöde från finansieringsverksamheten</t>
  </si>
  <si>
    <t>Periodens kassaflöde</t>
  </si>
  <si>
    <t>OBS!</t>
  </si>
  <si>
    <t>Moderbolagets resultaträkning i sammandrag (IFRS)</t>
  </si>
  <si>
    <t>Income statement in short - the parent company (IFRS)</t>
  </si>
  <si>
    <t>Moderbolagets balansräkning i sammandrag (IFRS)</t>
  </si>
  <si>
    <t>Balance sheet in short - the parent company (IFRS)</t>
  </si>
  <si>
    <t>Sweden</t>
  </si>
  <si>
    <t>Germany</t>
  </si>
  <si>
    <t>Others</t>
  </si>
  <si>
    <t>Note 3 - Depreciation and write-down of fixed assets (IFRS)</t>
  </si>
  <si>
    <t>Råvaruderivat</t>
  </si>
  <si>
    <t>Terminskontrakt råvara (LME för aluminium)</t>
  </si>
  <si>
    <t>Säkrad volym, ton</t>
  </si>
  <si>
    <t>Nominellt belopp, MUSD</t>
  </si>
  <si>
    <t>Senaste förfallotidpunkt</t>
  </si>
  <si>
    <t>Säkrat nettoinflöde, MDKK</t>
  </si>
  <si>
    <t>Sammanställning över resultaträkning för avvecklad verksamhet</t>
  </si>
  <si>
    <t>Summary of the income statement for discontinued operations</t>
  </si>
  <si>
    <t>Net Turnover</t>
  </si>
  <si>
    <t>Kostnad såld vara</t>
  </si>
  <si>
    <t>Försäljningskostnader</t>
  </si>
  <si>
    <t>Administrationskostnader</t>
  </si>
  <si>
    <t>Inkomstskatt</t>
  </si>
  <si>
    <t>Income tax</t>
  </si>
  <si>
    <t>Årets resultat</t>
  </si>
  <si>
    <t>Net Income for the period</t>
  </si>
  <si>
    <t>Cash flow from operating activities</t>
  </si>
  <si>
    <t>Cash flow from investing activities</t>
  </si>
  <si>
    <t>Cash flow from financing activities</t>
  </si>
  <si>
    <t>Cash flow for the period</t>
  </si>
  <si>
    <t>ENGLISH</t>
  </si>
  <si>
    <t xml:space="preserve">Justering </t>
  </si>
  <si>
    <t>Statement of comprehensive income in short (fair alternative value)</t>
  </si>
  <si>
    <t>KSV justeras med bokförda avskrivningar</t>
  </si>
  <si>
    <t>Earnings per share from continuing operations, kr</t>
  </si>
  <si>
    <t>Earnings per share from discontinued operations, kr</t>
  </si>
  <si>
    <t>Earnings per share</t>
  </si>
  <si>
    <t>antal aktier</t>
  </si>
  <si>
    <t>Reconciliation between accounting-based and fail alternative income statement</t>
  </si>
  <si>
    <t>Fair alternative</t>
  </si>
  <si>
    <t>Helår 2025</t>
  </si>
  <si>
    <t>depreciations</t>
  </si>
  <si>
    <t>Resultat per aktie från kvarvarande verksamhet (efter skatt), kr (ingen utspädning finns)</t>
  </si>
  <si>
    <t>Resultat per aktie från avvecklad verksamhet (efter skatt), kr (ingen utspädning finns)</t>
  </si>
  <si>
    <t>Periodens resulat per aktie (efter skatt), kr (ingen utspädning finns)</t>
  </si>
  <si>
    <t>Periodens totalresulat per aktie, kr (ingen utspädning finns)</t>
  </si>
  <si>
    <t>earnings per share (comprehensive income), SEK</t>
  </si>
  <si>
    <t>[TABELL SLUTADE ANVÄNDAS EFTER Q3-2025]</t>
  </si>
  <si>
    <t>[TABELL SLUTADE ANVÄNDAS EFTER Q4-2025]</t>
  </si>
  <si>
    <t>Key ratios 
- common for fair alternative result and IFRS</t>
  </si>
  <si>
    <t>Fair alternative result</t>
  </si>
  <si>
    <t>Fair alternative financial position</t>
  </si>
  <si>
    <t>Statement of financial position in short (IFRS)</t>
  </si>
  <si>
    <t xml:space="preserve"> Kortfrisiga tillgångar minus ej räntebärande skulder.</t>
  </si>
  <si>
    <t>Statement of financial position in short (fair alternative value)</t>
  </si>
  <si>
    <t>Uppskjutna skatteskulder</t>
  </si>
  <si>
    <t>Koncernens finansiella ställning, IFRS och verkligt</t>
  </si>
  <si>
    <t>Statement of financial position in short - IFRS &amp; fair alternative value</t>
  </si>
  <si>
    <t>Alternative financial position</t>
  </si>
  <si>
    <t>31 dec 2025</t>
  </si>
  <si>
    <t>Tillgångar</t>
  </si>
  <si>
    <t>Immateriella anläggningstillgångar</t>
  </si>
  <si>
    <t>Finansiella anläggningstillgångar</t>
  </si>
  <si>
    <t>Uppskjuten skattefordran kapitalförsäkring</t>
  </si>
  <si>
    <t>Summa anläggningstillgångar</t>
  </si>
  <si>
    <t>Varulager</t>
  </si>
  <si>
    <t>Kortfristiga fordringar</t>
  </si>
  <si>
    <t>Likvida medel</t>
  </si>
  <si>
    <t>Summa omsättningstillgångar</t>
  </si>
  <si>
    <t>Summa tillgångar</t>
  </si>
  <si>
    <t>Eget kapital</t>
  </si>
  <si>
    <t>Eget kapital hänförligt till moderbolagets aktieägare</t>
  </si>
  <si>
    <t>Skulder</t>
  </si>
  <si>
    <t>Summa långfristiga skulder</t>
  </si>
  <si>
    <t>Räntebärande skulder</t>
  </si>
  <si>
    <t>Ej räntebärande skulder</t>
  </si>
  <si>
    <t>Summa kortfristiga skulder</t>
  </si>
  <si>
    <t>Summa eget kapital och skulder</t>
  </si>
  <si>
    <t xml:space="preserve">Balansräkning i sammandrag med </t>
  </si>
  <si>
    <t>kalkylmässigt värde på anläggningstillgångar</t>
  </si>
  <si>
    <t>Nettoskillnad 20251231</t>
  </si>
  <si>
    <t>Samma nettoskillnad 20241231</t>
  </si>
  <si>
    <t>Anläggningstillgångar justerat till kalkylmässigt värde</t>
  </si>
  <si>
    <t>Done. Kalkylmässigt restvärde</t>
  </si>
  <si>
    <t>Omsättningstillgångar exklusive likvida medel</t>
  </si>
  <si>
    <t>DONE</t>
  </si>
  <si>
    <t>Eget kapital justerat med kalkylmässigt värde på anläggningstillgångar</t>
  </si>
  <si>
    <t>Ökat EK med 690,7</t>
  </si>
  <si>
    <t>Uppskjutna skatteskulder justerat med kalkylmässigt värde på anläggnignstillgångar</t>
  </si>
  <si>
    <t>Ökat 179,2 Mkr i skatteskuld</t>
  </si>
  <si>
    <t>Räntebärande skulder och avsättningar (inklusive pandemirelaterade anstånd och likvida medel)</t>
  </si>
  <si>
    <t>Ta bort kassa från omstillg och reducera bankskuld</t>
  </si>
  <si>
    <t>Dela upp räntebärande skulder och icke rte b</t>
  </si>
  <si>
    <t>klassificera anstånd som räntebärande</t>
  </si>
  <si>
    <t>Brygga mellan koncernens bokföringsmässiga och rättvisande finansiella ställning</t>
  </si>
  <si>
    <t>Operativt</t>
  </si>
  <si>
    <t>Anläggningstillgångar</t>
  </si>
  <si>
    <t xml:space="preserve">Räntebärande skulder och avsättningar </t>
  </si>
  <si>
    <t>varav likvida medel</t>
  </si>
  <si>
    <t>varav pandemirelaterade anstånd</t>
  </si>
  <si>
    <r>
      <rPr>
        <b/>
        <sz val="9"/>
        <rFont val="Source Sans Pro Light"/>
        <family val="2"/>
      </rPr>
      <t>Baserade på affärsmässig</t>
    </r>
    <r>
      <rPr>
        <sz val="9"/>
        <rFont val="Source Sans Pro Light"/>
        <family val="2"/>
      </rPr>
      <t xml:space="preserve"> värdering av metallkostnad samt marknadsvärdering av riskposition</t>
    </r>
  </si>
  <si>
    <t>Sammanlagt rörelseresultat*, Mkr</t>
  </si>
  <si>
    <t>varav operativt resultat*, Mkr</t>
  </si>
  <si>
    <t>varav resultat från riskutsatt metallposition*, Mkr</t>
  </si>
  <si>
    <t>varav engångsposter, Mkr</t>
  </si>
  <si>
    <t>Sammanlagt resultat efter finansiella poster och skatt*, Mkr</t>
  </si>
  <si>
    <t>varav resultat från innehav utan bestämmande inflytande, Mkr</t>
  </si>
  <si>
    <t>Sammanlagt resultat per aktie*, kr (ingen utspädning finns)</t>
  </si>
  <si>
    <t>Kassaflöde</t>
  </si>
  <si>
    <t>Kassaflöde från den löpande verksamheten före återbetalning/erhållande av pandemirelaterat anstånd, Mkr</t>
  </si>
  <si>
    <t>Kassflödespåverkan av anstånds återbetalning (-)/erhållande (+), Mkr</t>
  </si>
  <si>
    <t>Baserat på anskaffningskostnad för metall</t>
  </si>
  <si>
    <t>Not 6 - Kassaflödesanalys, investeringar i anläggningstillgångar</t>
  </si>
  <si>
    <t>Kvartal 1-3</t>
  </si>
  <si>
    <t>Investeringar i anläggningstillgångar</t>
  </si>
  <si>
    <t>varav avseende ny produktionsanläggning för strängpressning</t>
  </si>
  <si>
    <t xml:space="preserve">Ej betalda </t>
  </si>
  <si>
    <t>Betalda i perioden, aktiverade under tidigare period</t>
  </si>
  <si>
    <t>OBS, denna uppdateras manuellt!!</t>
  </si>
  <si>
    <t>Kassaflödespåverkande investering av ny produktionsanläggning</t>
  </si>
  <si>
    <t>Att lägga in i fotnot 1 under kassaflöde</t>
  </si>
  <si>
    <t>Kassaflöde efter investeringsverksamheten</t>
  </si>
  <si>
    <t>Kassaflöde efter investeringsverksamheten exkl Tor</t>
  </si>
  <si>
    <t>UB 2018-12-31</t>
  </si>
  <si>
    <t>Effekt av övergång till IFRS 16</t>
  </si>
  <si>
    <t>IB 2019-01-01</t>
  </si>
  <si>
    <t>Kortfristiga leasingskulder</t>
  </si>
  <si>
    <t>Längfristiga leasingskulder</t>
  </si>
  <si>
    <t>Åtaganden för operationella leasingavtal per den 31 december 2018</t>
  </si>
  <si>
    <t>Korttidsleasingavtal som kostnadsförs linjärt</t>
  </si>
  <si>
    <t>Leasingavtal för vilka den underliggande tillgången är av lågt värde</t>
  </si>
  <si>
    <t>Diskontering med koncernens marginella låneränta 2-7 %</t>
  </si>
  <si>
    <t>Skulder för finansiella leasingavtal per den 31 december 2018</t>
  </si>
  <si>
    <t>Leasingskuld redovisad per den 1 januari 2019</t>
  </si>
  <si>
    <t>Omklass felklass PG WIP Inventar.</t>
  </si>
  <si>
    <t>Börsen</t>
  </si>
  <si>
    <t>Ingen effekt!</t>
  </si>
  <si>
    <t>Av- och nedskrivningar enligt Accounting (Fil "Delårsrapport")</t>
  </si>
  <si>
    <t>Q2, 26</t>
  </si>
  <si>
    <t>Dubbelkolla att Årets Resultat enligt koncernens RAN P&amp;L flödar in under EK i BR korrekt.</t>
  </si>
  <si>
    <t>IFRS-siffror manuellt länkade till [A]. RAN-siffror manuelt länkade till [D].</t>
  </si>
  <si>
    <t>Länkad till [F]</t>
  </si>
  <si>
    <t>[A] IFRS Input (SE)</t>
  </si>
  <si>
    <t>[B] IFRS Output (SE)</t>
  </si>
  <si>
    <t>[C] IFRS Output (EN)</t>
  </si>
  <si>
    <t>Not</t>
  </si>
  <si>
    <t>[D] IFRS Output (EN)</t>
  </si>
  <si>
    <t>[C] IFRS Output (SE)</t>
  </si>
  <si>
    <t>Not 3 - Av– och nedskrivningar på materiella och immateriella anläggningstillgångar</t>
  </si>
  <si>
    <t>Byggnader och mark</t>
  </si>
  <si>
    <t>Totalt</t>
  </si>
  <si>
    <t>varav nedskrivningar</t>
  </si>
  <si>
    <t>Not 4 - Finansiella kostnader</t>
  </si>
  <si>
    <t>Räntekostnader till finansinstitut</t>
  </si>
  <si>
    <t>Orealiserade kursomvärderingar valutalån (vinst neg, förlust pos)</t>
  </si>
  <si>
    <t>Kostnad för pandemirelaterat anstånd</t>
  </si>
  <si>
    <t>Övriga finansiella kostnader</t>
  </si>
  <si>
    <t>Not 5 - Koncernens finansiella instrument värderade till verkligt värde i rapporten över finansiell ställning</t>
  </si>
  <si>
    <t>Valutaderivat</t>
  </si>
  <si>
    <t>Kortfristiga ej räntebärande skulder</t>
  </si>
  <si>
    <t>Valutaderivat används för säkring och är värderade på nivå 2 enligt IFRS 13.</t>
  </si>
  <si>
    <t>Terminskontrakt valuta</t>
  </si>
  <si>
    <t>Säkrat nettoinflöde, MEUR</t>
  </si>
  <si>
    <t>Nominellt belopp</t>
  </si>
  <si>
    <t>Not 2 - Intäkter per marknad</t>
  </si>
  <si>
    <t>Sverige</t>
  </si>
  <si>
    <t xml:space="preserve">Tyskland </t>
  </si>
  <si>
    <t>Övriga</t>
  </si>
  <si>
    <t>Not 6 - Ställda säkerheter och eventualförpliktelser</t>
  </si>
  <si>
    <t>"Direkt" länkad till fil sammanställning i fil "Delårsrapport".</t>
  </si>
  <si>
    <t>OBS! BR-post, anpassa formel!!</t>
  </si>
  <si>
    <t>[A] IFRS Input</t>
  </si>
  <si>
    <t>Likvida medel vid periodens slut (enligt ovan)</t>
  </si>
  <si>
    <t>Likvida medel vid periodens slut (enligt BR)</t>
  </si>
  <si>
    <t>Utgående EK (enligt ovan)</t>
  </si>
  <si>
    <t>Utgående EK (enligt fil Delårsrapport)</t>
  </si>
  <si>
    <t>Utående EK (enligt BR)</t>
  </si>
  <si>
    <t>OBS! Denna ska "hide:as"</t>
  </si>
  <si>
    <t>Rubriker i Word</t>
  </si>
  <si>
    <t>Kontrollera att sidnumreringen är korrekt</t>
  </si>
  <si>
    <t xml:space="preserve">Alla tabeller i "Koncern RR" </t>
  </si>
  <si>
    <t>Source Sans Pro Light</t>
  </si>
  <si>
    <t>Rad-höjd</t>
  </si>
  <si>
    <t>Se upp med dina Språk-inställningar, se nedan snaps (1 &amp; 2).</t>
  </si>
  <si>
    <t>1)</t>
  </si>
  <si>
    <t>2)</t>
  </si>
  <si>
    <t>Kolumner</t>
  </si>
  <si>
    <t>Säkerställ korrekt kolumner (perioder) som ska inkluderas i kommunikéns tabeller</t>
  </si>
  <si>
    <t>Split: Majoritet</t>
  </si>
  <si>
    <t>Split: Minoritet</t>
  </si>
  <si>
    <t>Se upp så att dessa EJ "hoppar" när du klistrar in tabeller</t>
  </si>
  <si>
    <t>Säkerställ att alla nyckeltal på sista sidan är inkluderade</t>
  </si>
  <si>
    <t>Säkerställ att alla nyckeltal i Bullet-tabellen på sida 1 är inkluderade</t>
  </si>
  <si>
    <t>[G2] "Bullet"-tabell (EN)</t>
  </si>
  <si>
    <t>Rättvisande alternativ redovisning</t>
  </si>
  <si>
    <t>Bokföring (IFRS)</t>
  </si>
  <si>
    <t>Nyckeltal enligt rättvisande alternativ redovisning och enligt bokföring (IFRS)</t>
  </si>
  <si>
    <r>
      <t xml:space="preserve">Länka in siffror på </t>
    </r>
    <r>
      <rPr>
        <b/>
        <u/>
        <sz val="8"/>
        <color theme="1"/>
        <rFont val="Calibri"/>
        <family val="2"/>
        <scheme val="minor"/>
      </rPr>
      <t xml:space="preserve">YTD- och QTD-basis </t>
    </r>
    <r>
      <rPr>
        <sz val="8"/>
        <color theme="1"/>
        <rFont val="Calibri"/>
        <family val="2"/>
        <scheme val="minor"/>
      </rPr>
      <t>från Accountings fil "Delårsrapport".</t>
    </r>
  </si>
  <si>
    <t>Färgkodning</t>
  </si>
  <si>
    <t>Säkerställ korrekt färgkodning i tabellerna (Blått och vitt)</t>
  </si>
  <si>
    <t>+Uppskjuten Skatt</t>
  </si>
  <si>
    <t>+ Långfristiga räntebärande skulder</t>
  </si>
  <si>
    <t>+ Kortfristiga räntebärande skulder</t>
  </si>
  <si>
    <t>Intäkter FULLÅR (EXTRAPOL), Mkr</t>
  </si>
  <si>
    <t>Intäkter (YTD), Mkr</t>
  </si>
  <si>
    <t>Faktor för extrapolering</t>
  </si>
  <si>
    <t>[2] Nyckeltalsberäkningar RAN</t>
  </si>
  <si>
    <t>[3] Nyckeltalsberäkningar IFRS</t>
  </si>
  <si>
    <t>MANUAL INPUT</t>
  </si>
  <si>
    <t>x Faktor Extrapolering</t>
  </si>
  <si>
    <t xml:space="preserve"> + EBT (YTD)</t>
  </si>
  <si>
    <t>+ Räntekostnader till finansinstitut (YTD)</t>
  </si>
  <si>
    <t xml:space="preserve"> + EBT (MTD)</t>
  </si>
  <si>
    <t>+ Räntekostnader till finansinstitut (MTD)</t>
  </si>
  <si>
    <t>= Resultat före skatt och finansiella kostnader (YTD)</t>
  </si>
  <si>
    <t>Genomsnittligt sysselsatt kapital (UB+IB för året)/2</t>
  </si>
  <si>
    <t>OBS!! Formel</t>
  </si>
  <si>
    <t>Periodens resultat (efter skatt) (YTD)</t>
  </si>
  <si>
    <t>Periodens resultat (efter skatt) (QTD)</t>
  </si>
  <si>
    <t>= Periodens  Resultat (YTD)</t>
  </si>
  <si>
    <t>= Resultat före skatt och finansiella kostnader (EXTRAPOL)</t>
  </si>
  <si>
    <t>Avkastning Sysselsatt (EXTRAPOL)  (%)</t>
  </si>
  <si>
    <t>Typsnitt i tabeller</t>
  </si>
  <si>
    <r>
      <t xml:space="preserve">[C] </t>
    </r>
    <r>
      <rPr>
        <b/>
        <sz val="16"/>
        <color theme="1"/>
        <rFont val="Aptos Narrow"/>
        <family val="2"/>
      </rPr>
      <t>∆</t>
    </r>
    <r>
      <rPr>
        <b/>
        <sz val="16"/>
        <color theme="1"/>
        <rFont val="Calibri"/>
        <family val="2"/>
      </rPr>
      <t xml:space="preserve"> (</t>
    </r>
    <r>
      <rPr>
        <b/>
        <sz val="16"/>
        <color theme="1"/>
        <rFont val="Calibri"/>
        <family val="2"/>
        <scheme val="minor"/>
      </rPr>
      <t xml:space="preserve">RAN Adjustment) </t>
    </r>
  </si>
  <si>
    <t>OBS! "Produktivtetsmått"varför ingen extrapolering sker</t>
  </si>
  <si>
    <t>Intäkter (YTD)</t>
  </si>
  <si>
    <t>Faktor</t>
  </si>
  <si>
    <t>Intäkter (Fullår, Extrapol.)</t>
  </si>
  <si>
    <t>+ Resultat före skatt (QTD)</t>
  </si>
  <si>
    <t xml:space="preserve"> + Räntekostnad till finansinstitut (QTD)</t>
  </si>
  <si>
    <t>/ Räntekostnad till finansinstitut (QTD)</t>
  </si>
  <si>
    <t>+ Resultat före skatt (YTD)</t>
  </si>
  <si>
    <t xml:space="preserve"> + Räntekostnad till finansinstitut (YTD)</t>
  </si>
  <si>
    <t>Räntetäckningsgrad, ggr (QTD)</t>
  </si>
  <si>
    <t>/ Räntekostnad till finansinstitut (YTD)</t>
  </si>
  <si>
    <t>Räntetäckningsgrad, ggr (YTD)</t>
  </si>
  <si>
    <t>UPPDATERAT 26-07-02</t>
  </si>
  <si>
    <t>= Periodens resultat (Fullår, Extrapolerat)</t>
  </si>
  <si>
    <t>Genomsnittligt EK (UB YTD + IB för året)/2</t>
  </si>
  <si>
    <t>Avkastning EK (EXTRAPOL) (%)</t>
  </si>
  <si>
    <t>EBITDA (QTD)</t>
  </si>
  <si>
    <t>EBITDA (Fullår, Extrapol)</t>
  </si>
  <si>
    <t>EBITDA (YTD)</t>
  </si>
  <si>
    <t>Nettoskuld/EBITDA, ggr (Fullår, Extrapol)</t>
  </si>
  <si>
    <t>Resultat från kvarvarande verksamhet (QTD)</t>
  </si>
  <si>
    <t>Resultat från avvecklad verksamhet (QTD)</t>
  </si>
  <si>
    <t>Totalt resultat (QTD)</t>
  </si>
  <si>
    <t>Resultat från innehav utan bestämmande inflytande (QTD)</t>
  </si>
  <si>
    <t>OBS! Justera för Minoritetens andel!</t>
  </si>
  <si>
    <t>Resultat per aktie från kvarvarande verksamhet</t>
  </si>
  <si>
    <t>Resultat per aktie från avvecklad verksamhet</t>
  </si>
  <si>
    <t>Totalt resultat per aktie</t>
  </si>
  <si>
    <t>= Resultat före skatt och finansiella kostnader (QTD)</t>
  </si>
  <si>
    <t>Resultat från Metallposition FÖRE SKATT (QTD)</t>
  </si>
  <si>
    <t>Real. Resultat från Metallposition EFTER SKATT (YTD)</t>
  </si>
  <si>
    <t>Real. Resultat från Metallposition EFTER SKATT (QTD)</t>
  </si>
  <si>
    <t>Genomsnittligt EK (se ovan)</t>
  </si>
  <si>
    <t>Metall Resultat / Aktie</t>
  </si>
  <si>
    <t>Operativt Resultat / Aktie</t>
  </si>
  <si>
    <t>Totalt Resultat / Aktie</t>
  </si>
  <si>
    <t>[A] RAN + IFRS</t>
  </si>
  <si>
    <t>[B] RAN</t>
  </si>
  <si>
    <t>[C] IFRS</t>
  </si>
  <si>
    <t xml:space="preserve">= Realiserat i innevarande period </t>
  </si>
  <si>
    <t>+ Realiserat från fg. period</t>
  </si>
  <si>
    <t>= Realiserat Resultat från Metallposition (QTD)</t>
  </si>
  <si>
    <t>x Realiserat i innevarande period (%)</t>
  </si>
  <si>
    <t>OBS! Se upp med R12-beräkningar vilka kräver mer manuell handpåläggning</t>
  </si>
  <si>
    <t>Länka in IFRS-avskrivningar (som vi måste justera KSV för, "add-back") från fliken "Avskrivningar".</t>
  </si>
  <si>
    <t>Lägg in RAN-avskrivningar för samtliga tillgångsslag. Länkar från flik "Avskrivningar".</t>
  </si>
  <si>
    <t>New share issue/Shareholder contribution</t>
  </si>
  <si>
    <t>Eftersom RAN inte görs "bottom-up" så får vi använda en antagen split för Periodens resultat vid uppbrytning på "Moderbolagets ägare" och "Innehav utan bestämmande inflytande"</t>
  </si>
  <si>
    <t>Sektion [C2]</t>
  </si>
  <si>
    <t>[C2] Analys (∆ RAN vs IFRS)</t>
  </si>
  <si>
    <t>Analys (∆ RAN vs IFRS)</t>
  </si>
  <si>
    <t>Gå igenom rad för rad skillnader mellan P&amp;L för IFRS respektive RAN.</t>
  </si>
  <si>
    <t>Se upp med beräkningar för YTD och R12 då dessa inte bara är "summeringar".</t>
  </si>
  <si>
    <t>"Output"-tabell - manuellt länka från sektion [D]</t>
  </si>
  <si>
    <t>(no dilution)</t>
  </si>
  <si>
    <t>[J] IFRS Adjustments (To be comparable to RAN)</t>
  </si>
  <si>
    <t>[K] RAN Adjustments (To be Like4Like)</t>
  </si>
  <si>
    <t>"Output"-tabell - manuellt länka från sektion [L]</t>
  </si>
  <si>
    <t>Δ RAN vs IFRS</t>
  </si>
  <si>
    <t>∆ Analys</t>
  </si>
  <si>
    <t>[B] RAN Reported (Incl. RAN Adj, From "RANMaster" file)</t>
  </si>
  <si>
    <t>[C1] ∆ RAN vs IFRS (YTD)</t>
  </si>
  <si>
    <t>Check: Materiella Anläggningstillgångar</t>
  </si>
  <si>
    <t>[C2] ∆ RAN vs IFRS (QTD)</t>
  </si>
  <si>
    <t>Kontroll 1: Det är viktigt att stämma av att vår uppvärdering av Materiella Tillgångar stämmer överens med siffran enligt "RANMaster"-filen.</t>
  </si>
  <si>
    <t>"Output"-tabell - manuellt länka från sektion [D].</t>
  </si>
  <si>
    <t>De RAN-justeringar som görs i P&amp;L:en (inkl. Skatt) fångas på så sätt att det påverkar EK genom Periodens Totalresultat (Majoritet resp. Minoritet). Dvs ingen ytterligare "bokning" i BR görs för detta. (Vi har dock celler förberedda för detta då vi elaborerat med det tidigare...)</t>
  </si>
  <si>
    <t>Detta är en ren "Analys" sektion för att kunna stämma av skillnader mellan IFRS vs RAN.</t>
  </si>
  <si>
    <t>Förändring enligt "RANMaster"-fil</t>
  </si>
  <si>
    <t>Förändring enligt ovan</t>
  </si>
  <si>
    <t>RAN-värden enligt ÅR 25</t>
  </si>
  <si>
    <t>IFRS-värden</t>
  </si>
  <si>
    <t>RAN-värden före manuella justeringar</t>
  </si>
  <si>
    <t>Justeringar</t>
  </si>
  <si>
    <t>OBS! Några BR-siffror måste brytas upp och "knackas in" manuellt, vilket är specat "under" själva tabellen</t>
  </si>
  <si>
    <t>Majoriteten av celler länkas in från Sektion [A]</t>
  </si>
  <si>
    <t>Kontroll 2: Stäm av att förändringen mellan kvartalen är rimlig. (Nyanskaffningar, utrangeringar, värdeförändringar, etc)</t>
  </si>
  <si>
    <t>Räntekostnader</t>
  </si>
  <si>
    <t>PGX</t>
  </si>
  <si>
    <t>Koncern</t>
  </si>
  <si>
    <t>2026 FY</t>
  </si>
  <si>
    <t>/ Mån</t>
  </si>
  <si>
    <t>RAN BU</t>
  </si>
  <si>
    <t>RAN AC</t>
  </si>
  <si>
    <t>RAN-siffrorna för 2026 baseras på nya (högre) värden för tillgångarna</t>
  </si>
  <si>
    <t>Ej Äpple-Mot–Äpple med nedan (justering hyreskostnader)</t>
  </si>
  <si>
    <t>Bolag som ej är PGX</t>
  </si>
  <si>
    <t>EK enlligt BR</t>
  </si>
  <si>
    <t>Check: Active= Passive</t>
  </si>
  <si>
    <t>Enligt P&amp;L</t>
  </si>
  <si>
    <t>Earnings per share from discontinuing operations, SEK</t>
  </si>
  <si>
    <t>OBS! Manuellt justerat pga Sustainability Reporting-krav</t>
  </si>
  <si>
    <t>[F1] "Bullet"-tabell (SE)</t>
  </si>
  <si>
    <t>(Lite "beror på", ex. Rubrik)</t>
  </si>
  <si>
    <t>[F2] "Bullet"-tabell (EN)</t>
  </si>
  <si>
    <t>[G1] "Bullet"-tabell (SE)</t>
  </si>
  <si>
    <t>[C2] YoY (%)</t>
  </si>
  <si>
    <t>[A1B] YoY</t>
  </si>
  <si>
    <t>x Extrapolering (Samma metodik som för Avkastning på EK)</t>
  </si>
  <si>
    <t>= Realiserat Resultat från Metallposition (Fullår, Extrapol)</t>
  </si>
  <si>
    <t>[H] Nyckeltalstabell SE</t>
  </si>
  <si>
    <t>Räntekostnader koncernjust</t>
  </si>
  <si>
    <t>Räntekostnader kreditinstut</t>
  </si>
  <si>
    <t>Orealiserade kursomvärderingar EUR-lån</t>
  </si>
  <si>
    <t>Kostnader för anstånd Skatteverket</t>
  </si>
  <si>
    <t>Totalt enl koncernresultaträkning</t>
  </si>
  <si>
    <t>MTD</t>
  </si>
  <si>
    <t>[1] Data från Accountings fil (Bokslut - Koncern- Finansiella poster koncern)</t>
  </si>
  <si>
    <t>[2] Summary</t>
  </si>
  <si>
    <t>varav årets totalresultat hänförligt till innehav utan bestämmande inflytande</t>
  </si>
  <si>
    <t>Avskrivningar, Mkr</t>
  </si>
  <si>
    <t>Depreciations, MSEK</t>
  </si>
  <si>
    <t>Periodens totalresultat per aktie, kr*</t>
  </si>
  <si>
    <t>Net debt/EBITDA</t>
  </si>
  <si>
    <t>EBITDA, MSEK</t>
  </si>
  <si>
    <t>Total equity attributable to the parent Company's shareholders, MSEK</t>
  </si>
  <si>
    <t>Bokföringsmässiga avskrivningar:</t>
  </si>
  <si>
    <t>H1 25</t>
  </si>
  <si>
    <t>H1 26</t>
  </si>
  <si>
    <t>%</t>
  </si>
  <si>
    <t>Delta</t>
  </si>
  <si>
    <t>Kommentar: De totala bokföringsmässiga avskrivningarna har sjunkit med 1 MSEK jämfört med H1 2025. Detta är främst hänförligt till fullt avskrivna Maskiner och Inventarier i PG&amp;WIP. Deras inventarier har skrivits av med 1,1 MSEK mindre under H1 2026.</t>
  </si>
  <si>
    <t>Kalkylmässiga avskrivningar:</t>
  </si>
  <si>
    <t>Återanskaffningsvärden RAN-Master</t>
  </si>
  <si>
    <t>Kommentar: Återanskaffningsvärden skiljer sig totalt 6,6 procent jämfört med 2025 och 2026. Dock "fasar" vi ökningen varje kvartal. Således är skillnaden mellan 2025-siffrorna och Q2 2026 endast 3,3 procent. I rimlig nivå med den 2,4 procentiga kalkylmässiga ökningen som vi ser i resultaträkningarna mellan perioderna.</t>
  </si>
  <si>
    <t>Avkastning EK: Metall (YTD)</t>
  </si>
  <si>
    <t>Avkastning EK: Operativ (YTD)</t>
  </si>
  <si>
    <t>Avkastning EK: Total (YTD)</t>
  </si>
  <si>
    <t>= Resultat Total (QTD)</t>
  </si>
  <si>
    <t>+ Resultat: Metall (QTD)</t>
  </si>
  <si>
    <t>+ Resultat: Operativ (QTD)</t>
  </si>
  <si>
    <t>+ Resultat: Metall (FULLÅR @ YTD)</t>
  </si>
  <si>
    <t>+ Resultat: Operativ (FULLÅR @ YTD)</t>
  </si>
  <si>
    <t>+ Resultat: Total (FULLÅR @ YTD)</t>
  </si>
  <si>
    <t>Avkastning EK: Metall</t>
  </si>
  <si>
    <t>Avkastning EK: Operativ</t>
  </si>
  <si>
    <t>Avkastning EK: Total</t>
  </si>
  <si>
    <t>Operativ</t>
  </si>
  <si>
    <t>Text-storlek i noter</t>
  </si>
  <si>
    <t>Periodens resultat per aktie (efter skatt), kr (ingen utspädning finns)</t>
  </si>
  <si>
    <t>Periodens resultat per aktie (efter skatt), kr</t>
  </si>
  <si>
    <t>Resultat per aktie från avvecklad verksamhet (efter skatt), kr</t>
  </si>
  <si>
    <t>Resultat per aktie från kvarvarande verksamhet (efter skatt), kr</t>
  </si>
  <si>
    <t>Net income for the period related to continuing operations (after tax), MSEK</t>
  </si>
  <si>
    <t>Earnings per share from continuing operations (after tax), SEK</t>
  </si>
  <si>
    <t>Key ratios for fair alternative result (APM) and IFRS</t>
  </si>
  <si>
    <t>Earnings per share (after tax), SEK</t>
  </si>
  <si>
    <t>Net income for the period (after tax), MSEK</t>
  </si>
  <si>
    <t>Earnings per share from discontinued operations (after tax), SEK</t>
  </si>
  <si>
    <t>Return on Equity based on Net Income for the period (after tax), %</t>
  </si>
  <si>
    <t>Avstämning alternativa nyckeltal</t>
  </si>
  <si>
    <t>12 mån</t>
  </si>
  <si>
    <t>rullande</t>
  </si>
  <si>
    <t>Av- och nedskrivningar</t>
  </si>
  <si>
    <t>Periodens resultat (uppräknat till 12 mån vid delår)</t>
  </si>
  <si>
    <t>Genomsnittligt eget kaptal</t>
  </si>
  <si>
    <t>Resultat efter finansiella poster (uppräknat till 12 mån vid delår)</t>
  </si>
  <si>
    <t>Räntekostnader (uppräknat till 12 mån vid delår)</t>
  </si>
  <si>
    <t>Genomsnittliga räntebärande skulder och avsättningar</t>
  </si>
  <si>
    <t>Genomsnittligt sysselsatt kapital</t>
  </si>
  <si>
    <t>Beviljade ej utnyttjade krediter</t>
  </si>
  <si>
    <t>EBITDA (rullande 12 mån)</t>
  </si>
  <si>
    <t>Intäkter (uppräknat till 12 mån vid delår)</t>
  </si>
  <si>
    <t>Resultat efter finansiella poster + räntekostnader</t>
  </si>
  <si>
    <t>Räntekostnad till finansinstitut</t>
  </si>
  <si>
    <t>Resultat efter finansiella poster per anställd (medelantal), Tkr</t>
  </si>
  <si>
    <t>Resultat efter finansiella poster, Mkr</t>
  </si>
  <si>
    <t>Antal aktier, tusental</t>
  </si>
  <si>
    <t>Genomsnittligt eget kapital</t>
  </si>
  <si>
    <t>EK hänförligt till MBs aktieägare</t>
  </si>
  <si>
    <t>Genomsnittliga likvida medel</t>
  </si>
  <si>
    <t>Balansomslutning (genomsnitt.)</t>
  </si>
  <si>
    <t>Ej räntebärande skulder och avsättningar (genomsnitt.)</t>
  </si>
  <si>
    <t>Sysselsatt kapital (genomsnitt.)</t>
  </si>
  <si>
    <t>Genomsnittligt balansomslutning</t>
  </si>
  <si>
    <t>Räntekostnader  till finansinstitut</t>
  </si>
  <si>
    <t>Genomsnittliga ej räntebärande skulder och avsättningar</t>
  </si>
  <si>
    <t>Fullår</t>
  </si>
  <si>
    <t>Avstämning alternativa nyckeltal (RAN)</t>
  </si>
  <si>
    <t>Avstämning nyckeltal IFRS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</si>
</sst>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
    <numFmt numFmtId="165" formatCode="0.0"/>
    <numFmt numFmtId="166" formatCode="_-* #,##0_-;\-* #,##0_-;_-* &quot;-&quot;??_-;_-@_-"/>
    <numFmt numFmtId="167" formatCode="_-* #,##0.0_-;\-* #,##0.0_-;_-* &quot;-&quot;??_-;_-@_-"/>
    <numFmt numFmtId="168" formatCode="0.0%"/>
    <numFmt numFmtId="169" formatCode="#\ #,#00"/>
    <numFmt numFmtId="170" formatCode="###0"/>
    <numFmt numFmtId="171" formatCode="#.##"/>
    <numFmt numFmtId="172" formatCode="#,##0.0_ ;\-#,##0.0\ "/>
    <numFmt numFmtId="173" formatCode="#.#"/>
    <numFmt numFmtId="174" formatCode="#,##0\ &quot;kr&quot;"/>
    <numFmt numFmtId="175" formatCode="_-* #,##0.000_-;\-* #,##0.000_-;_-* &quot;-&quot;??_-;_-@_-"/>
    <numFmt numFmtId="176" formatCode="_-* #,##0.00\ _k_r_-;\-* #,##0.00\ _k_r_-;_-* &quot;-&quot;??\ _k_r_-;_-@_-"/>
  </numFmts>
  <fonts count="183" x14ac:knownFonts="1">
    <font>
      <sz val="11"/>
      <color theme="1"/>
      <name val="Calibri"/>
      <family val="2"/>
      <scheme val="minor"/>
    </font>
    <font>
      <b/>
      <sz val="7"/>
      <name val="Source Sans Pro Light"/>
      <family val="2"/>
    </font>
    <font>
      <sz val="7"/>
      <name val="Source Sans Pro Light"/>
      <family val="2"/>
    </font>
    <font>
      <sz val="8"/>
      <name val="Source Sans Pro Light"/>
      <family val="2"/>
    </font>
    <font>
      <sz val="11"/>
      <name val="Source Sans Pro Light"/>
      <family val="2"/>
    </font>
    <font>
      <sz val="6"/>
      <name val="Source Sans Pro Light"/>
      <family val="2"/>
    </font>
    <font>
      <i/>
      <sz val="7"/>
      <name val="Source Sans Pro Light"/>
      <family val="2"/>
    </font>
    <font>
      <sz val="8"/>
      <name val="Calibri"/>
      <family val="2"/>
      <scheme val="minor"/>
    </font>
    <font>
      <b/>
      <sz val="7"/>
      <color rgb="FFFF0000"/>
      <name val="Calibri"/>
      <family val="2"/>
      <scheme val="minor"/>
    </font>
    <font>
      <sz val="7"/>
      <color rgb="FFFF0000"/>
      <name val="Source Sans Pro Light"/>
      <family val="2"/>
    </font>
    <font>
      <sz val="7"/>
      <color theme="0"/>
      <name val="Source Sans Pro Light"/>
      <family val="2"/>
    </font>
    <font>
      <b/>
      <sz val="9"/>
      <name val="Source Sans Pro Light"/>
      <family val="2"/>
    </font>
    <font>
      <sz val="9"/>
      <name val="Source Sans Pro Light"/>
      <family val="2"/>
    </font>
    <font>
      <b/>
      <sz val="10"/>
      <name val="Source Sans Pro Light"/>
      <family val="2"/>
    </font>
    <font>
      <sz val="11"/>
      <color theme="1"/>
      <name val="Calibri"/>
      <family val="2"/>
      <scheme val="minor"/>
    </font>
    <font>
      <b/>
      <sz val="7"/>
      <color rgb="FFFF0000"/>
      <name val="Source Sans Pro Light"/>
      <family val="2"/>
    </font>
    <font>
      <i/>
      <sz val="11"/>
      <color theme="1"/>
      <name val="Calibri"/>
      <family val="2"/>
      <scheme val="minor"/>
    </font>
    <font>
      <i/>
      <sz val="6"/>
      <name val="Source Sans Pro Light"/>
      <family val="2"/>
    </font>
    <font>
      <b/>
      <u/>
      <sz val="10"/>
      <name val="Source Sans Pro Light"/>
      <family val="2"/>
    </font>
    <font>
      <b/>
      <sz val="8"/>
      <color rgb="FFFF0000"/>
      <name val="Source Sans Pro Light"/>
      <family val="2"/>
    </font>
    <font>
      <b/>
      <i/>
      <sz val="7"/>
      <name val="Source Sans Pro Light"/>
      <family val="2"/>
    </font>
    <font>
      <i/>
      <sz val="7"/>
      <color rgb="FFFF0000"/>
      <name val="Source Sans Pro Light"/>
      <family val="2"/>
    </font>
    <font>
      <sz val="11"/>
      <color rgb="FFFF0000"/>
      <name val="Source Sans Pro Light"/>
      <family val="2"/>
    </font>
    <font>
      <b/>
      <sz val="11"/>
      <color rgb="FFFF0000"/>
      <name val="Source Sans Pro Light"/>
      <family val="2"/>
    </font>
    <font>
      <i/>
      <sz val="8"/>
      <name val="Source Sans Pro Light"/>
      <family val="2"/>
    </font>
    <font>
      <sz val="7"/>
      <color rgb="FF0070C0"/>
      <name val="Source Sans Pro Light"/>
      <family val="2"/>
    </font>
    <font>
      <b/>
      <sz val="7"/>
      <color rgb="FF0070C0"/>
      <name val="Source Sans Pro Light"/>
      <family val="2"/>
    </font>
    <font>
      <sz val="8"/>
      <color rgb="FFFFFF00"/>
      <name val="Source Sans Pro Light"/>
      <family val="2"/>
    </font>
    <font>
      <b/>
      <sz val="8"/>
      <color theme="0"/>
      <name val="Source Sans Pro Light"/>
      <family val="2"/>
    </font>
    <font>
      <b/>
      <sz val="14"/>
      <name val="Source Sans Pro Light"/>
      <family val="2"/>
    </font>
    <font>
      <b/>
      <sz val="16"/>
      <name val="Source Sans Pro Light"/>
      <family val="2"/>
    </font>
    <font>
      <b/>
      <sz val="16"/>
      <name val="Aptos Narrow"/>
      <family val="2"/>
    </font>
    <font>
      <b/>
      <sz val="8"/>
      <name val="Source Sans Pro Light"/>
      <family val="2"/>
    </font>
    <font>
      <i/>
      <sz val="7"/>
      <color rgb="FF0070C0"/>
      <name val="Source Sans Pro Light"/>
      <family val="2"/>
    </font>
    <font>
      <b/>
      <sz val="14"/>
      <name val="Arial"/>
      <family val="2"/>
    </font>
    <font>
      <sz val="9"/>
      <color indexed="81"/>
      <name val="Tahoma"/>
      <family val="2"/>
    </font>
    <font>
      <b/>
      <sz val="8"/>
      <color rgb="FFFFFFFF"/>
      <name val="Arial"/>
      <family val="2"/>
    </font>
    <font>
      <sz val="11"/>
      <color rgb="FF000000"/>
      <name val="Calibri"/>
      <family val="2"/>
      <scheme val="minor"/>
    </font>
    <font>
      <sz val="8"/>
      <name val="Arial"/>
      <family val="2"/>
    </font>
    <font>
      <b/>
      <sz val="8"/>
      <name val="Arial"/>
      <family val="2"/>
    </font>
    <font>
      <sz val="8"/>
      <color rgb="FF0070C0"/>
      <name val="Arial"/>
      <family val="2"/>
    </font>
    <font>
      <i/>
      <sz val="8"/>
      <color rgb="FF0070C0"/>
      <name val="Arial"/>
      <family val="2"/>
    </font>
    <font>
      <i/>
      <sz val="8"/>
      <color rgb="FFFF0000"/>
      <name val="Arial"/>
      <family val="2"/>
    </font>
    <font>
      <sz val="8"/>
      <color rgb="FFFFFF00"/>
      <name val="Arial"/>
      <family val="2"/>
    </font>
    <font>
      <b/>
      <sz val="9"/>
      <color indexed="81"/>
      <name val="Tahoma"/>
      <family val="2"/>
    </font>
    <font>
      <b/>
      <sz val="11"/>
      <name val="Arial"/>
      <family val="2"/>
    </font>
    <font>
      <sz val="8"/>
      <color rgb="FFFF0000"/>
      <name val="Source Sans Pro Light"/>
      <family val="2"/>
    </font>
    <font>
      <b/>
      <sz val="22"/>
      <color theme="0"/>
      <name val="Arial"/>
      <family val="2"/>
    </font>
    <font>
      <b/>
      <sz val="20"/>
      <color theme="0"/>
      <name val="Arial"/>
      <family val="2"/>
    </font>
    <font>
      <sz val="8"/>
      <color theme="1"/>
      <name val="Arial"/>
      <family val="2"/>
    </font>
    <font>
      <b/>
      <i/>
      <sz val="11"/>
      <color theme="1"/>
      <name val="Calibri"/>
      <family val="2"/>
      <scheme val="minor"/>
    </font>
    <font>
      <sz val="7"/>
      <name val="Arial"/>
      <family val="2"/>
    </font>
    <font>
      <b/>
      <sz val="7"/>
      <color theme="0"/>
      <name val="Arial"/>
      <family val="2"/>
    </font>
    <font>
      <b/>
      <sz val="7"/>
      <name val="Arial"/>
      <family val="2"/>
    </font>
    <font>
      <sz val="7"/>
      <color theme="0" tint="-0.14999847407452621"/>
      <name val="Arial"/>
      <family val="2"/>
    </font>
    <font>
      <b/>
      <sz val="7"/>
      <color rgb="FFFF0000"/>
      <name val="Arial"/>
      <family val="2"/>
    </font>
    <font>
      <sz val="7"/>
      <color rgb="FFFFFF00"/>
      <name val="Arial"/>
      <family val="2"/>
    </font>
    <font>
      <b/>
      <sz val="7"/>
      <color rgb="FF0070C0"/>
      <name val="Arial"/>
      <family val="2"/>
    </font>
    <font>
      <sz val="7"/>
      <color rgb="FF0070C0"/>
      <name val="Arial"/>
      <family val="2"/>
    </font>
    <font>
      <i/>
      <sz val="7"/>
      <color rgb="FF0070C0"/>
      <name val="Arial"/>
      <family val="2"/>
    </font>
    <font>
      <sz val="6"/>
      <color rgb="FF0070C0"/>
      <name val="Arial"/>
      <family val="2"/>
    </font>
    <font>
      <i/>
      <sz val="6"/>
      <name val="Arial"/>
      <family val="2"/>
    </font>
    <font>
      <b/>
      <i/>
      <sz val="7"/>
      <color rgb="FF0070C0"/>
      <name val="Arial"/>
      <family val="2"/>
    </font>
    <font>
      <i/>
      <sz val="7"/>
      <name val="Arial"/>
      <family val="2"/>
    </font>
    <font>
      <b/>
      <sz val="7"/>
      <color rgb="FFFFFF00"/>
      <name val="Arial"/>
      <family val="2"/>
    </font>
    <font>
      <sz val="7"/>
      <color theme="0" tint="-0.34998626667073579"/>
      <name val="Arial"/>
      <family val="2"/>
    </font>
    <font>
      <sz val="6"/>
      <name val="Arial"/>
      <family val="2"/>
    </font>
    <font>
      <b/>
      <i/>
      <sz val="7"/>
      <name val="Arial"/>
      <family val="2"/>
    </font>
    <font>
      <b/>
      <i/>
      <sz val="11"/>
      <color rgb="FFFF0000"/>
      <name val="Calibri"/>
      <family val="2"/>
      <scheme val="minor"/>
    </font>
    <font>
      <sz val="8"/>
      <color theme="1"/>
      <name val="Calibri"/>
      <family val="2"/>
      <scheme val="minor"/>
    </font>
    <font>
      <b/>
      <sz val="8"/>
      <color theme="1"/>
      <name val="Calibri"/>
      <family val="2"/>
      <scheme val="minor"/>
    </font>
    <font>
      <sz val="9"/>
      <color theme="0" tint="-0.14999847407452621"/>
      <name val="Source Sans Pro Light"/>
      <family val="2"/>
    </font>
    <font>
      <b/>
      <sz val="9"/>
      <color theme="0" tint="-0.14999847407452621"/>
      <name val="Source Sans Pro Light"/>
      <family val="2"/>
    </font>
    <font>
      <b/>
      <sz val="10"/>
      <color theme="0" tint="-0.14999847407452621"/>
      <name val="Source Sans Pro Light"/>
      <family val="2"/>
    </font>
    <font>
      <sz val="7"/>
      <color theme="0" tint="-0.14999847407452621"/>
      <name val="Source Sans Pro Light"/>
      <family val="2"/>
    </font>
    <font>
      <sz val="8"/>
      <color theme="0" tint="-0.14999847407452621"/>
      <name val="Source Sans Pro Light"/>
      <family val="2"/>
    </font>
    <font>
      <b/>
      <u/>
      <sz val="10"/>
      <color theme="0" tint="-0.14999847407452621"/>
      <name val="Source Sans Pro Light"/>
      <family val="2"/>
    </font>
    <font>
      <b/>
      <sz val="8"/>
      <name val="Aptos Narrow"/>
      <family val="2"/>
    </font>
    <font>
      <sz val="7"/>
      <color rgb="FFFFFF00"/>
      <name val="Source Sans Pro Light"/>
      <family val="2"/>
    </font>
    <font>
      <b/>
      <sz val="7"/>
      <color rgb="FFFFFF00"/>
      <name val="Source Sans Pro Light"/>
      <family val="2"/>
    </font>
    <font>
      <b/>
      <sz val="9"/>
      <color rgb="FFFFFF00"/>
      <name val="Source Sans Pro Light"/>
      <family val="2"/>
    </font>
    <font>
      <b/>
      <u/>
      <sz val="12"/>
      <name val="Arial"/>
      <family val="2"/>
    </font>
    <font>
      <sz val="7"/>
      <color theme="1"/>
      <name val="Arial"/>
      <family val="2"/>
    </font>
    <font>
      <b/>
      <sz val="7"/>
      <color theme="1"/>
      <name val="Arial"/>
      <family val="2"/>
    </font>
    <font>
      <sz val="8"/>
      <color rgb="FFFFFFFF"/>
      <name val="Arial"/>
      <family val="2"/>
    </font>
    <font>
      <sz val="11"/>
      <color theme="1"/>
      <name val="Calibri"/>
      <family val="2"/>
    </font>
    <font>
      <sz val="5"/>
      <name val="Source Sans Pro Light"/>
      <family val="2"/>
    </font>
    <font>
      <b/>
      <sz val="14"/>
      <color theme="1"/>
      <name val="Calibri"/>
      <family val="2"/>
      <scheme val="minor"/>
    </font>
    <font>
      <sz val="8"/>
      <color rgb="FF0070C0"/>
      <name val="Source Sans Pro Light"/>
      <family val="2"/>
    </font>
    <font>
      <b/>
      <sz val="8"/>
      <color theme="1"/>
      <name val="Arial"/>
      <family val="2"/>
    </font>
    <font>
      <b/>
      <i/>
      <sz val="7"/>
      <color rgb="FF0070C0"/>
      <name val="Source Sans Pro Light"/>
      <family val="2"/>
    </font>
    <font>
      <sz val="8"/>
      <color theme="0" tint="-0.14999847407452621"/>
      <name val="Arial"/>
      <family val="2"/>
    </font>
    <font>
      <b/>
      <sz val="8"/>
      <color rgb="FFFF0000"/>
      <name val="Arial"/>
      <family val="2"/>
    </font>
    <font>
      <sz val="12"/>
      <name val="Arial"/>
      <family val="2"/>
    </font>
    <font>
      <sz val="11"/>
      <name val="Calibri"/>
      <family val="2"/>
      <scheme val="minor"/>
    </font>
    <font>
      <b/>
      <sz val="8"/>
      <color rgb="FF0070C0"/>
      <name val="Arial"/>
      <family val="2"/>
    </font>
    <font>
      <b/>
      <sz val="10"/>
      <name val="Arial"/>
      <family val="2"/>
    </font>
    <font>
      <b/>
      <sz val="11"/>
      <color theme="1"/>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i/>
      <u/>
      <sz val="8"/>
      <color theme="1"/>
      <name val="Calibri"/>
      <family val="2"/>
      <scheme val="minor"/>
    </font>
    <font>
      <sz val="7"/>
      <name val="Aptos Narrow"/>
      <family val="2"/>
    </font>
    <font>
      <i/>
      <sz val="11"/>
      <color rgb="FFFF0000"/>
      <name val="Calibri"/>
      <family val="2"/>
      <scheme val="minor"/>
    </font>
    <font>
      <b/>
      <u/>
      <sz val="8"/>
      <color theme="1"/>
      <name val="Calibri"/>
      <family val="2"/>
      <scheme val="minor"/>
    </font>
    <font>
      <b/>
      <sz val="8"/>
      <color rgb="FFFFFF00"/>
      <name val="Aptos Narrow"/>
      <family val="2"/>
    </font>
    <font>
      <b/>
      <sz val="8"/>
      <color rgb="FFFFFF00"/>
      <name val="Source Sans Pro Light"/>
      <family val="2"/>
    </font>
    <font>
      <b/>
      <sz val="11"/>
      <color theme="0"/>
      <name val="Calibri"/>
      <family val="2"/>
      <scheme val="minor"/>
    </font>
    <font>
      <b/>
      <sz val="8"/>
      <color theme="0"/>
      <name val="Calibri"/>
      <family val="2"/>
      <scheme val="minor"/>
    </font>
    <font>
      <sz val="8"/>
      <color rgb="FFFF0000"/>
      <name val="Calibri"/>
      <family val="2"/>
      <scheme val="minor"/>
    </font>
    <font>
      <b/>
      <i/>
      <sz val="7"/>
      <color rgb="FFFF0000"/>
      <name val="Source Sans Pro Light"/>
      <family val="2"/>
    </font>
    <font>
      <sz val="7"/>
      <color theme="1" tint="0.249977111117893"/>
      <name val="Source Sans Pro Light"/>
      <family val="2"/>
    </font>
    <font>
      <b/>
      <sz val="11"/>
      <color theme="1" tint="0.249977111117893"/>
      <name val="Arial"/>
      <family val="2"/>
    </font>
    <font>
      <b/>
      <sz val="7"/>
      <color theme="1" tint="0.249977111117893"/>
      <name val="Source Sans Pro Light"/>
      <family val="2"/>
    </font>
    <font>
      <sz val="7"/>
      <name val="Source Sans Pro Light"/>
      <family val="2"/>
    </font>
    <font>
      <b/>
      <sz val="7"/>
      <name val="Source Sans Pro Light"/>
      <family val="2"/>
    </font>
    <font>
      <b/>
      <sz val="11"/>
      <color rgb="FFFF0000"/>
      <name val="Calibri"/>
      <family val="2"/>
      <scheme val="minor"/>
    </font>
    <font>
      <b/>
      <sz val="11"/>
      <name val="Source Sans Pro Light"/>
      <family val="2"/>
    </font>
    <font>
      <b/>
      <sz val="8"/>
      <color theme="1"/>
      <name val="Source Sans Pro Light"/>
      <family val="2"/>
    </font>
    <font>
      <sz val="8"/>
      <color theme="1"/>
      <name val="Source Sans Pro Light"/>
      <family val="2"/>
    </font>
    <font>
      <b/>
      <sz val="12"/>
      <name val="Arial"/>
      <family val="2"/>
    </font>
    <font>
      <b/>
      <sz val="8"/>
      <color rgb="FFFFFFFF"/>
      <name val="Arial"/>
      <family val="2"/>
    </font>
    <font>
      <sz val="8"/>
      <name val="Arial"/>
      <family val="2"/>
    </font>
    <font>
      <b/>
      <sz val="8"/>
      <name val="Arial"/>
      <family val="2"/>
    </font>
    <font>
      <sz val="8"/>
      <color rgb="FF0070C0"/>
      <name val="Arial"/>
      <family val="2"/>
    </font>
    <font>
      <b/>
      <sz val="16"/>
      <color theme="1"/>
      <name val="Aptos Narrow"/>
      <family val="2"/>
    </font>
    <font>
      <b/>
      <sz val="16"/>
      <color theme="1"/>
      <name val="Calibri"/>
      <family val="2"/>
    </font>
    <font>
      <b/>
      <i/>
      <sz val="8"/>
      <color rgb="FFFF0000"/>
      <name val="Arial"/>
      <family val="2"/>
    </font>
    <font>
      <b/>
      <i/>
      <sz val="8"/>
      <color rgb="FFFF0000"/>
      <name val="Source Sans Pro Light"/>
      <family val="2"/>
    </font>
    <font>
      <b/>
      <i/>
      <sz val="7"/>
      <color rgb="FFFF0000"/>
      <name val="Arial"/>
      <family val="2"/>
    </font>
    <font>
      <sz val="7.5"/>
      <name val="Source Sans Pro Light"/>
      <family val="2"/>
    </font>
    <font>
      <b/>
      <i/>
      <sz val="8"/>
      <color theme="1"/>
      <name val="Source Sans Pro Light"/>
      <family val="2"/>
    </font>
    <font>
      <i/>
      <sz val="8"/>
      <color theme="1"/>
      <name val="Source Sans Pro Light"/>
      <family val="2"/>
    </font>
    <font>
      <sz val="7"/>
      <name val="Source Sans Pro Light"/>
      <family val="2"/>
    </font>
    <font>
      <b/>
      <sz val="7"/>
      <name val="Source Sans Pro Light"/>
      <family val="2"/>
    </font>
    <font>
      <i/>
      <sz val="8"/>
      <color rgb="FFFFFF00"/>
      <name val="Source Sans Pro Light"/>
      <family val="2"/>
    </font>
    <font>
      <i/>
      <sz val="7"/>
      <color rgb="FFFFFF00"/>
      <name val="Source Sans Pro Light"/>
      <family val="2"/>
    </font>
    <font>
      <b/>
      <sz val="7"/>
      <color rgb="FFFF0000"/>
      <name val="Source Sans Pro Light"/>
      <family val="2"/>
    </font>
    <font>
      <i/>
      <u/>
      <sz val="8"/>
      <color rgb="FFFF0000"/>
      <name val="Calibri"/>
      <family val="2"/>
      <scheme val="minor"/>
    </font>
    <font>
      <b/>
      <sz val="7"/>
      <color theme="0" tint="-0.14999847407452621"/>
      <name val="Arial"/>
      <family val="2"/>
    </font>
    <font>
      <sz val="6"/>
      <color theme="0" tint="-0.14999847407452621"/>
      <name val="Arial"/>
      <family val="2"/>
    </font>
    <font>
      <sz val="7"/>
      <color rgb="FFFFFF00"/>
      <name val="Arial"/>
      <family val="2"/>
    </font>
    <font>
      <sz val="7"/>
      <name val="Arial"/>
      <family val="2"/>
    </font>
    <font>
      <b/>
      <sz val="11"/>
      <color theme="1"/>
      <name val="Aptos Narrow"/>
      <family val="2"/>
    </font>
    <font>
      <sz val="11"/>
      <color rgb="FF0070C0"/>
      <name val="Source Sans Pro Light"/>
      <family val="2"/>
    </font>
    <font>
      <sz val="7"/>
      <color rgb="FFFFFF00"/>
      <name val="Source Sans Pro Light"/>
      <family val="2"/>
    </font>
    <font>
      <sz val="11"/>
      <color rgb="FFFFFF00"/>
      <name val="Calibri"/>
      <family val="2"/>
      <scheme val="minor"/>
    </font>
    <font>
      <b/>
      <sz val="9"/>
      <name val="Source Sans Pro Light"/>
      <family val="2"/>
    </font>
    <font>
      <b/>
      <sz val="7"/>
      <color theme="1"/>
      <name val="Source Sans Pro Light"/>
      <family val="2"/>
    </font>
    <font>
      <i/>
      <sz val="7"/>
      <color rgb="FFFF0000"/>
      <name val="Arial"/>
      <family val="2"/>
    </font>
    <font>
      <b/>
      <i/>
      <u/>
      <sz val="12"/>
      <color rgb="FFFF0000"/>
      <name val="Arial"/>
      <family val="2"/>
    </font>
    <font>
      <i/>
      <sz val="8"/>
      <color rgb="FFFF0000"/>
      <name val="Source Sans Pro Light"/>
      <family val="2"/>
    </font>
    <font>
      <sz val="5"/>
      <name val="Source Sans Pro Light"/>
      <family val="2"/>
    </font>
    <font>
      <b/>
      <i/>
      <sz val="8"/>
      <name val="Source Sans Pro Light"/>
      <family val="2"/>
    </font>
    <font>
      <i/>
      <sz val="8"/>
      <color rgb="FF0070C0"/>
      <name val="Source Sans Pro Light"/>
      <family val="2"/>
    </font>
    <font>
      <b/>
      <sz val="8"/>
      <color rgb="FF0070C0"/>
      <name val="Source Sans Pro Light"/>
      <family val="2"/>
    </font>
    <font>
      <sz val="8"/>
      <color theme="1"/>
      <name val="Calibri"/>
      <family val="2"/>
    </font>
    <font>
      <sz val="8"/>
      <color rgb="FFFF0000"/>
      <name val="Calibri"/>
      <family val="2"/>
    </font>
    <font>
      <sz val="7"/>
      <color rgb="FFFF0000"/>
      <name val="Arial"/>
      <family val="2"/>
    </font>
    <font>
      <b/>
      <i/>
      <sz val="7"/>
      <color rgb="FFFF0000"/>
      <name val="Source Sans Pro Light"/>
      <family val="2"/>
    </font>
    <font>
      <sz val="7"/>
      <color rgb="FFFF0000"/>
      <name val="Arial"/>
      <family val="2"/>
    </font>
    <font>
      <sz val="8"/>
      <name val="Source Sans Pro Light"/>
      <family val="2"/>
    </font>
    <font>
      <sz val="8"/>
      <color rgb="FF0070C0"/>
      <name val="Calibri"/>
      <family val="2"/>
      <scheme val="minor"/>
    </font>
    <font>
      <sz val="8"/>
      <color theme="1"/>
      <name val="Arial"/>
      <family val="2"/>
    </font>
    <font>
      <b/>
      <sz val="8"/>
      <color theme="1"/>
      <name val="Arial"/>
      <family val="2"/>
    </font>
    <font>
      <b/>
      <i/>
      <sz val="8"/>
      <color rgb="FF0070C0"/>
      <name val="Source Sans Pro Light"/>
      <family val="2"/>
    </font>
    <font>
      <b/>
      <sz val="11"/>
      <name val="Arial"/>
      <family val="2"/>
    </font>
    <font>
      <i/>
      <sz val="7"/>
      <name val="Source Sans Pro Light"/>
      <family val="2"/>
    </font>
    <font>
      <i/>
      <sz val="7"/>
      <color rgb="FF0070C0"/>
      <name val="Source Sans Pro Light"/>
      <family val="2"/>
    </font>
    <font>
      <sz val="8"/>
      <color rgb="FFFFFF00"/>
      <name val="Source Sans Pro Light"/>
      <family val="2"/>
    </font>
    <font>
      <i/>
      <sz val="8"/>
      <name val="Source Sans Pro Light"/>
      <family val="2"/>
    </font>
    <font>
      <i/>
      <sz val="7"/>
      <color rgb="FFFFFF00"/>
      <name val="Source Sans Pro Light"/>
      <family val="2"/>
    </font>
    <font>
      <i/>
      <sz val="8"/>
      <color rgb="FFFFFF00"/>
      <name val="Source Sans Pro Light"/>
      <family val="2"/>
    </font>
    <font>
      <sz val="7.5"/>
      <name val="Source Sans Pro Light"/>
      <family val="2"/>
    </font>
    <font>
      <sz val="7"/>
      <color rgb="FF0070C0"/>
      <name val="Source Sans Pro Light"/>
      <family val="2"/>
    </font>
    <font>
      <i/>
      <sz val="7"/>
      <color rgb="FFFF0000"/>
      <name val="Source Sans Pro Light"/>
      <family val="2"/>
    </font>
    <font>
      <b/>
      <sz val="8"/>
      <name val="Source Sans Pro Light"/>
      <family val="2"/>
    </font>
    <font>
      <sz val="12"/>
      <name val="Times New Roman"/>
      <family val="1"/>
    </font>
    <font>
      <sz val="10"/>
      <name val="Times New Roman"/>
      <family val="1"/>
    </font>
    <font>
      <sz val="11"/>
      <name val="Arial"/>
      <family val="2"/>
    </font>
    <font>
      <sz val="14"/>
      <name val="Arial"/>
      <family val="2"/>
    </font>
    <font>
      <b/>
      <sz val="8"/>
      <color theme="0"/>
      <name val="Arial"/>
      <family val="2"/>
    </font>
    <font>
      <sz val="8"/>
      <color theme="0"/>
      <name val="Arial"/>
      <family val="2"/>
    </font>
  </fonts>
  <fills count="36">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9BC2E6"/>
        <bgColor indexed="64"/>
      </patternFill>
    </fill>
    <fill>
      <patternFill patternType="solid">
        <fgColor rgb="FFFFFFCC"/>
        <bgColor indexed="64"/>
      </patternFill>
    </fill>
    <fill>
      <patternFill patternType="solid">
        <fgColor rgb="FFFF5050"/>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002060"/>
        <bgColor rgb="FF000000"/>
      </patternFill>
    </fill>
    <fill>
      <patternFill patternType="solid">
        <fgColor rgb="FFFFFFCC"/>
        <bgColor rgb="FF000000"/>
      </patternFill>
    </fill>
    <fill>
      <patternFill patternType="solid">
        <fgColor theme="1"/>
        <bgColor indexed="64"/>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theme="0" tint="-0.14999847407452621"/>
        <bgColor indexed="64"/>
      </patternFill>
    </fill>
    <fill>
      <patternFill patternType="solid">
        <fgColor rgb="FFDDEBF7"/>
        <bgColor indexed="64"/>
      </patternFill>
    </fill>
    <fill>
      <patternFill patternType="solid">
        <fgColor rgb="FF9BC2E6"/>
        <bgColor rgb="FF000000"/>
      </patternFill>
    </fill>
    <fill>
      <patternFill patternType="solid">
        <fgColor rgb="FFDDEBF7"/>
        <bgColor rgb="FF000000"/>
      </patternFill>
    </fill>
    <fill>
      <patternFill patternType="solid">
        <fgColor theme="0" tint="-4.9989318521683403E-2"/>
        <bgColor rgb="FF000000"/>
      </patternFill>
    </fill>
    <fill>
      <patternFill patternType="solid">
        <fgColor rgb="FFFFFF00"/>
        <bgColor rgb="FF000000"/>
      </patternFill>
    </fill>
    <fill>
      <patternFill patternType="solid">
        <fgColor rgb="FF0070C0"/>
        <bgColor rgb="FF000000"/>
      </patternFill>
    </fill>
    <fill>
      <patternFill patternType="solid">
        <fgColor rgb="FF92D050"/>
        <bgColor rgb="FF000000"/>
      </patternFill>
    </fill>
    <fill>
      <patternFill patternType="solid">
        <fgColor theme="1"/>
        <bgColor rgb="FF000000"/>
      </patternFill>
    </fill>
    <fill>
      <patternFill patternType="solid">
        <fgColor rgb="FF0070C0"/>
        <bgColor indexed="64"/>
      </patternFill>
    </fill>
    <fill>
      <patternFill patternType="solid">
        <fgColor theme="1" tint="0.14999847407452621"/>
        <bgColor indexed="64"/>
      </patternFill>
    </fill>
    <fill>
      <patternFill patternType="solid">
        <fgColor rgb="FFFF99FF"/>
        <bgColor indexed="64"/>
      </patternFill>
    </fill>
    <fill>
      <patternFill patternType="solid">
        <fgColor theme="4" tint="0.59999389629810485"/>
        <bgColor indexed="64"/>
      </patternFill>
    </fill>
    <fill>
      <patternFill patternType="solid">
        <fgColor rgb="FF8EA9DB"/>
        <bgColor rgb="FF000000"/>
      </patternFill>
    </fill>
    <fill>
      <patternFill patternType="solid">
        <fgColor rgb="FFFFC000"/>
        <bgColor rgb="FF000000"/>
      </patternFill>
    </fill>
    <fill>
      <patternFill patternType="solid">
        <fgColor rgb="FFCBD3DE"/>
        <bgColor rgb="FF000000"/>
      </patternFill>
    </fill>
    <fill>
      <patternFill patternType="solid">
        <fgColor rgb="FFD9D9D9"/>
        <bgColor rgb="FF000000"/>
      </patternFill>
    </fill>
  </fills>
  <borders count="63">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medium">
        <color indexed="64"/>
      </top>
      <bottom style="thin">
        <color theme="0" tint="-0.249977111117893"/>
      </bottom>
      <diagonal/>
    </border>
    <border>
      <left/>
      <right/>
      <top style="thin">
        <color indexed="64"/>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medium">
        <color auto="1"/>
      </top>
      <bottom/>
      <diagonal/>
    </border>
    <border>
      <left/>
      <right/>
      <top style="thin">
        <color theme="0" tint="-0.2499465926084170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theme="0" tint="-0.249977111117893"/>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theme="0" tint="-0.24994659260841701"/>
      </bottom>
      <diagonal/>
    </border>
    <border>
      <left/>
      <right/>
      <top style="thin">
        <color theme="0" tint="-0.24994659260841701"/>
      </top>
      <bottom style="medium">
        <color indexed="64"/>
      </bottom>
      <diagonal/>
    </border>
    <border>
      <left/>
      <right/>
      <top style="thin">
        <color indexed="64"/>
      </top>
      <bottom style="thin">
        <color theme="6"/>
      </bottom>
      <diagonal/>
    </border>
    <border>
      <left/>
      <right/>
      <top style="thin">
        <color theme="6"/>
      </top>
      <bottom style="thin">
        <color theme="6"/>
      </bottom>
      <diagonal/>
    </border>
    <border>
      <left style="thin">
        <color indexed="64"/>
      </left>
      <right style="thin">
        <color indexed="64"/>
      </right>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top/>
      <bottom style="thin">
        <color theme="0" tint="-0.24994659260841701"/>
      </bottom>
      <diagonal/>
    </border>
    <border>
      <left/>
      <right style="thin">
        <color indexed="64"/>
      </right>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right/>
      <top/>
      <bottom style="thin">
        <color theme="6"/>
      </bottom>
      <diagonal/>
    </border>
    <border>
      <left/>
      <right/>
      <top style="thin">
        <color theme="0" tint="-0.249977111117893"/>
      </top>
      <bottom style="thin">
        <color theme="0" tint="-0.24994659260841701"/>
      </bottom>
      <diagonal/>
    </border>
    <border>
      <left/>
      <right/>
      <top style="thin">
        <color theme="0" tint="-0.24994659260841701"/>
      </top>
      <bottom style="thin">
        <color auto="1"/>
      </bottom>
      <diagonal/>
    </border>
    <border>
      <left/>
      <right/>
      <top style="thin">
        <color theme="0" tint="-0.249977111117893"/>
      </top>
      <bottom style="medium">
        <color indexed="64"/>
      </bottom>
      <diagonal/>
    </border>
    <border>
      <left/>
      <right/>
      <top style="thin">
        <color theme="0" tint="-0.249977111117893"/>
      </top>
      <bottom/>
      <diagonal/>
    </border>
    <border>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right style="thin">
        <color indexed="64"/>
      </right>
      <top/>
      <bottom style="thin">
        <color theme="0" tint="-0.249977111117893"/>
      </bottom>
      <diagonal/>
    </border>
    <border>
      <left/>
      <right style="thin">
        <color indexed="64"/>
      </right>
      <top style="thin">
        <color theme="0" tint="-0.249977111117893"/>
      </top>
      <bottom style="thin">
        <color auto="1"/>
      </bottom>
      <diagonal/>
    </border>
    <border>
      <left style="thin">
        <color indexed="64"/>
      </left>
      <right/>
      <top/>
      <bottom style="thin">
        <color theme="0" tint="-0.249977111117893"/>
      </bottom>
      <diagonal/>
    </border>
    <border>
      <left style="thin">
        <color indexed="64"/>
      </left>
      <right/>
      <top style="thin">
        <color indexed="64"/>
      </top>
      <bottom style="thin">
        <color theme="0" tint="-0.249977111117893"/>
      </bottom>
      <diagonal/>
    </border>
    <border>
      <left/>
      <right/>
      <top style="thin">
        <color indexed="64"/>
      </top>
      <bottom style="thin">
        <color theme="0" tint="-0.249977111117893"/>
      </bottom>
      <diagonal/>
    </border>
    <border>
      <left/>
      <right style="thin">
        <color indexed="64"/>
      </right>
      <top style="thin">
        <color indexed="64"/>
      </top>
      <bottom style="thin">
        <color theme="0" tint="-0.249977111117893"/>
      </bottom>
      <diagonal/>
    </border>
    <border>
      <left style="thin">
        <color indexed="64"/>
      </left>
      <right/>
      <top style="thin">
        <color theme="0" tint="-0.249977111117893"/>
      </top>
      <bottom style="thin">
        <color auto="1"/>
      </bottom>
      <diagonal/>
    </border>
    <border>
      <left/>
      <right/>
      <top style="thin">
        <color indexed="64"/>
      </top>
      <bottom style="double">
        <color indexed="64"/>
      </bottom>
      <diagonal/>
    </border>
    <border>
      <left/>
      <right/>
      <top/>
      <bottom style="thin">
        <color rgb="FFBFBFBF"/>
      </bottom>
      <diagonal/>
    </border>
    <border>
      <left/>
      <right/>
      <top style="thin">
        <color rgb="FFBFBFBF"/>
      </top>
      <bottom style="thin">
        <color auto="1"/>
      </bottom>
      <diagonal/>
    </border>
    <border>
      <left style="thin">
        <color indexed="64"/>
      </left>
      <right/>
      <top style="thin">
        <color theme="0" tint="-0.249977111117893"/>
      </top>
      <bottom style="thin">
        <color theme="0" tint="-0.249977111117893"/>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theme="0" tint="-0.249977111117893"/>
      </top>
      <bottom/>
      <diagonal/>
    </border>
    <border>
      <left/>
      <right style="thin">
        <color indexed="64"/>
      </right>
      <top style="thin">
        <color theme="0" tint="-0.249977111117893"/>
      </top>
      <bottom style="thin">
        <color theme="0" tint="-0.249977111117893"/>
      </bottom>
      <diagonal/>
    </border>
  </borders>
  <cellStyleXfs count="6">
    <xf numFmtId="0" fontId="0" fillId="0" borderId="0"/>
    <xf numFmtId="9" fontId="14" fillId="0" borderId="0" applyFont="0" applyFill="0" applyBorder="0" applyAlignment="0" applyProtection="0"/>
    <xf numFmtId="43" fontId="14" fillId="0" borderId="0" applyFont="0" applyFill="0" applyBorder="0" applyAlignment="0" applyProtection="0"/>
    <xf numFmtId="0" fontId="37" fillId="0" borderId="0"/>
    <xf numFmtId="43" fontId="93" fillId="0" borderId="0" applyFont="0" applyFill="0" applyBorder="0" applyAlignment="0" applyProtection="0"/>
    <xf numFmtId="0" fontId="177" fillId="0" borderId="0"/>
  </cellStyleXfs>
  <cellXfs count="2525">
    <xf numFmtId="0" fontId="0" fillId="0" borderId="0" xfId="0"/>
    <xf numFmtId="0" fontId="1" fillId="0" borderId="0" xfId="0" applyFont="1"/>
    <xf numFmtId="0" fontId="2" fillId="0" borderId="0" xfId="0" applyFont="1"/>
    <xf numFmtId="0" fontId="2" fillId="2" borderId="0" xfId="0" applyFont="1" applyFill="1"/>
    <xf numFmtId="0" fontId="1" fillId="2" borderId="0" xfId="0" applyFont="1" applyFill="1" applyAlignment="1">
      <alignment horizontal="right"/>
    </xf>
    <xf numFmtId="0" fontId="1" fillId="2" borderId="0" xfId="0" applyFont="1" applyFill="1"/>
    <xf numFmtId="0" fontId="2" fillId="0" borderId="4" xfId="0" applyFont="1" applyBorder="1"/>
    <xf numFmtId="164" fontId="2" fillId="4" borderId="4" xfId="0" applyNumberFormat="1" applyFont="1" applyFill="1" applyBorder="1"/>
    <xf numFmtId="164" fontId="2" fillId="0" borderId="4" xfId="0" applyNumberFormat="1" applyFont="1" applyBorder="1"/>
    <xf numFmtId="164" fontId="2" fillId="4" borderId="5" xfId="0" applyNumberFormat="1" applyFont="1" applyFill="1" applyBorder="1"/>
    <xf numFmtId="164" fontId="2" fillId="0" borderId="5" xfId="0" applyNumberFormat="1" applyFont="1" applyBorder="1"/>
    <xf numFmtId="164" fontId="1" fillId="4" borderId="0" xfId="0" applyNumberFormat="1" applyFont="1" applyFill="1"/>
    <xf numFmtId="164" fontId="1" fillId="0" borderId="0" xfId="0" applyNumberFormat="1" applyFont="1"/>
    <xf numFmtId="164" fontId="2" fillId="4" borderId="0" xfId="0" applyNumberFormat="1" applyFont="1" applyFill="1"/>
    <xf numFmtId="164" fontId="2" fillId="0" borderId="0" xfId="0" applyNumberFormat="1" applyFont="1"/>
    <xf numFmtId="0" fontId="2" fillId="0" borderId="1" xfId="0" applyFont="1" applyBorder="1"/>
    <xf numFmtId="164" fontId="2" fillId="4" borderId="1" xfId="0" applyNumberFormat="1" applyFont="1" applyFill="1" applyBorder="1"/>
    <xf numFmtId="164" fontId="2" fillId="0" borderId="1" xfId="0" applyNumberFormat="1" applyFont="1" applyBorder="1"/>
    <xf numFmtId="0" fontId="1" fillId="3" borderId="0" xfId="0" applyFont="1" applyFill="1"/>
    <xf numFmtId="0" fontId="2" fillId="3" borderId="0" xfId="0" applyFont="1" applyFill="1"/>
    <xf numFmtId="0" fontId="2" fillId="0" borderId="4" xfId="0" applyFont="1" applyBorder="1" applyAlignment="1">
      <alignment horizontal="left" indent="1"/>
    </xf>
    <xf numFmtId="0" fontId="1" fillId="0" borderId="0" xfId="0" applyFont="1" applyAlignment="1">
      <alignment horizontal="left" indent="1"/>
    </xf>
    <xf numFmtId="0" fontId="4" fillId="0" borderId="0" xfId="0" applyFont="1"/>
    <xf numFmtId="164" fontId="2" fillId="4" borderId="0" xfId="0" applyNumberFormat="1" applyFont="1" applyFill="1" applyAlignment="1">
      <alignment horizontal="right"/>
    </xf>
    <xf numFmtId="164" fontId="2" fillId="0" borderId="0" xfId="0" applyNumberFormat="1" applyFont="1" applyAlignment="1">
      <alignment horizontal="right"/>
    </xf>
    <xf numFmtId="164" fontId="2" fillId="4" borderId="4" xfId="0" applyNumberFormat="1" applyFont="1" applyFill="1" applyBorder="1" applyAlignment="1">
      <alignment horizontal="right"/>
    </xf>
    <xf numFmtId="164" fontId="2" fillId="0" borderId="4" xfId="0" applyNumberFormat="1" applyFont="1" applyBorder="1" applyAlignment="1">
      <alignment horizontal="right"/>
    </xf>
    <xf numFmtId="164" fontId="2" fillId="4" borderId="2" xfId="0" applyNumberFormat="1" applyFont="1" applyFill="1" applyBorder="1" applyAlignment="1">
      <alignment horizontal="right"/>
    </xf>
    <xf numFmtId="164" fontId="2" fillId="0" borderId="2" xfId="0" applyNumberFormat="1" applyFont="1" applyBorder="1" applyAlignment="1">
      <alignment horizontal="right"/>
    </xf>
    <xf numFmtId="164" fontId="1" fillId="4" borderId="0" xfId="0" applyNumberFormat="1" applyFont="1" applyFill="1" applyAlignment="1">
      <alignment horizontal="right"/>
    </xf>
    <xf numFmtId="164" fontId="1" fillId="0" borderId="0" xfId="0" applyNumberFormat="1" applyFont="1" applyAlignment="1">
      <alignment horizontal="right"/>
    </xf>
    <xf numFmtId="0" fontId="1" fillId="0" borderId="1" xfId="0" applyFont="1" applyBorder="1"/>
    <xf numFmtId="0" fontId="2" fillId="3" borderId="4" xfId="0" applyFont="1" applyFill="1" applyBorder="1"/>
    <xf numFmtId="0" fontId="1" fillId="0" borderId="6" xfId="0" applyFont="1" applyBorder="1"/>
    <xf numFmtId="164" fontId="1" fillId="4" borderId="6" xfId="0" applyNumberFormat="1" applyFont="1" applyFill="1" applyBorder="1"/>
    <xf numFmtId="164" fontId="1" fillId="0" borderId="6" xfId="0" applyNumberFormat="1" applyFont="1" applyBorder="1"/>
    <xf numFmtId="0" fontId="1" fillId="2" borderId="2" xfId="0" applyFont="1" applyFill="1" applyBorder="1"/>
    <xf numFmtId="0" fontId="1" fillId="2" borderId="2" xfId="0" applyFont="1" applyFill="1" applyBorder="1" applyAlignment="1">
      <alignment horizontal="right"/>
    </xf>
    <xf numFmtId="0" fontId="2" fillId="0" borderId="1" xfId="0" applyFont="1" applyBorder="1" applyAlignment="1">
      <alignment horizontal="left" indent="1"/>
    </xf>
    <xf numFmtId="0" fontId="1" fillId="0" borderId="0" xfId="0" applyFont="1" applyAlignment="1">
      <alignment horizontal="center"/>
    </xf>
    <xf numFmtId="0" fontId="1" fillId="2" borderId="2" xfId="0" applyFont="1" applyFill="1" applyBorder="1" applyAlignment="1">
      <alignment horizontal="center"/>
    </xf>
    <xf numFmtId="0" fontId="2" fillId="0" borderId="4" xfId="0" applyFont="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1" fillId="3" borderId="0" xfId="0" applyFont="1" applyFill="1" applyAlignment="1">
      <alignment horizontal="center"/>
    </xf>
    <xf numFmtId="0" fontId="1" fillId="2" borderId="0" xfId="0" applyFont="1" applyFill="1" applyAlignment="1">
      <alignment horizontal="center"/>
    </xf>
    <xf numFmtId="16" fontId="1" fillId="2" borderId="0" xfId="0" applyNumberFormat="1" applyFont="1" applyFill="1" applyAlignment="1">
      <alignment horizontal="right"/>
    </xf>
    <xf numFmtId="0" fontId="2" fillId="0" borderId="0" xfId="0" applyFont="1" applyAlignment="1">
      <alignment horizontal="left" indent="1"/>
    </xf>
    <xf numFmtId="0" fontId="2" fillId="0" borderId="0" xfId="0" applyFont="1" applyAlignment="1">
      <alignment horizontal="left" wrapText="1" indent="1"/>
    </xf>
    <xf numFmtId="164" fontId="6" fillId="4" borderId="5" xfId="0" applyNumberFormat="1" applyFont="1" applyFill="1" applyBorder="1"/>
    <xf numFmtId="164" fontId="6" fillId="0" borderId="4" xfId="0" applyNumberFormat="1" applyFont="1" applyBorder="1"/>
    <xf numFmtId="0" fontId="6" fillId="0" borderId="4" xfId="0" applyFont="1" applyBorder="1" applyAlignment="1">
      <alignment horizontal="left" indent="1"/>
    </xf>
    <xf numFmtId="0" fontId="1" fillId="2" borderId="2" xfId="0" applyFont="1" applyFill="1" applyBorder="1" applyAlignment="1">
      <alignment horizontal="right" wrapText="1"/>
    </xf>
    <xf numFmtId="0" fontId="8" fillId="0" borderId="0" xfId="0" applyFont="1"/>
    <xf numFmtId="164" fontId="6" fillId="4" borderId="1" xfId="0" applyNumberFormat="1" applyFont="1" applyFill="1" applyBorder="1"/>
    <xf numFmtId="164" fontId="6" fillId="0" borderId="1" xfId="0" applyNumberFormat="1" applyFont="1" applyBorder="1"/>
    <xf numFmtId="164" fontId="6" fillId="0" borderId="0" xfId="0" applyNumberFormat="1" applyFont="1"/>
    <xf numFmtId="0" fontId="6" fillId="0" borderId="0" xfId="0" applyFont="1"/>
    <xf numFmtId="164" fontId="2" fillId="4" borderId="8" xfId="0" applyNumberFormat="1" applyFont="1" applyFill="1" applyBorder="1"/>
    <xf numFmtId="164" fontId="2" fillId="4" borderId="9" xfId="0" applyNumberFormat="1" applyFont="1" applyFill="1" applyBorder="1"/>
    <xf numFmtId="164" fontId="6" fillId="0" borderId="5" xfId="0" applyNumberFormat="1" applyFont="1" applyBorder="1"/>
    <xf numFmtId="0" fontId="9" fillId="0" borderId="0" xfId="0" applyFont="1"/>
    <xf numFmtId="164" fontId="9" fillId="0" borderId="0" xfId="0" applyNumberFormat="1" applyFont="1"/>
    <xf numFmtId="165" fontId="2" fillId="0" borderId="0" xfId="0" applyNumberFormat="1" applyFont="1"/>
    <xf numFmtId="0" fontId="2" fillId="0" borderId="9" xfId="0" applyFont="1" applyBorder="1" applyAlignment="1">
      <alignment horizontal="left" indent="1"/>
    </xf>
    <xf numFmtId="164" fontId="2" fillId="0" borderId="9" xfId="0" applyNumberFormat="1" applyFont="1" applyBorder="1" applyAlignment="1">
      <alignment horizontal="right"/>
    </xf>
    <xf numFmtId="0" fontId="2" fillId="0" borderId="0" xfId="0" applyFont="1" applyAlignment="1">
      <alignment horizontal="left" wrapText="1"/>
    </xf>
    <xf numFmtId="0" fontId="2" fillId="0" borderId="1" xfId="0" applyFont="1" applyBorder="1" applyAlignment="1">
      <alignment wrapText="1"/>
    </xf>
    <xf numFmtId="164" fontId="2" fillId="4" borderId="9" xfId="0" applyNumberFormat="1" applyFont="1" applyFill="1" applyBorder="1" applyAlignment="1">
      <alignment horizontal="right"/>
    </xf>
    <xf numFmtId="0" fontId="10" fillId="0" borderId="0" xfId="0" applyFont="1"/>
    <xf numFmtId="4" fontId="2" fillId="0" borderId="4" xfId="0" applyNumberFormat="1" applyFont="1" applyBorder="1" applyAlignment="1">
      <alignment horizontal="right"/>
    </xf>
    <xf numFmtId="3" fontId="2" fillId="4" borderId="4" xfId="0" applyNumberFormat="1" applyFont="1" applyFill="1" applyBorder="1" applyAlignment="1">
      <alignment horizontal="right"/>
    </xf>
    <xf numFmtId="3" fontId="2" fillId="0" borderId="4" xfId="0" applyNumberFormat="1" applyFont="1" applyBorder="1" applyAlignment="1">
      <alignment horizontal="right"/>
    </xf>
    <xf numFmtId="0" fontId="12" fillId="0" borderId="17" xfId="0" applyFont="1" applyBorder="1"/>
    <xf numFmtId="0" fontId="11" fillId="2" borderId="17" xfId="0" applyFont="1" applyFill="1" applyBorder="1" applyAlignment="1">
      <alignment horizontal="center"/>
    </xf>
    <xf numFmtId="0" fontId="11" fillId="0" borderId="18" xfId="0" applyFont="1" applyBorder="1"/>
    <xf numFmtId="0" fontId="11" fillId="2" borderId="18" xfId="0" applyFont="1" applyFill="1" applyBorder="1" applyAlignment="1">
      <alignment horizontal="center"/>
    </xf>
    <xf numFmtId="0" fontId="12" fillId="0" borderId="12" xfId="0" applyFont="1" applyBorder="1"/>
    <xf numFmtId="164" fontId="12" fillId="4" borderId="12" xfId="0" applyNumberFormat="1" applyFont="1" applyFill="1" applyBorder="1" applyAlignment="1">
      <alignment horizontal="center"/>
    </xf>
    <xf numFmtId="164" fontId="12" fillId="0" borderId="12" xfId="0" applyNumberFormat="1" applyFont="1" applyBorder="1" applyAlignment="1">
      <alignment horizontal="center"/>
    </xf>
    <xf numFmtId="164" fontId="12" fillId="4" borderId="17" xfId="0" applyNumberFormat="1" applyFont="1" applyFill="1" applyBorder="1" applyAlignment="1">
      <alignment horizontal="center"/>
    </xf>
    <xf numFmtId="164" fontId="12" fillId="0" borderId="17" xfId="0" applyNumberFormat="1" applyFont="1" applyBorder="1" applyAlignment="1">
      <alignment horizontal="center"/>
    </xf>
    <xf numFmtId="0" fontId="12" fillId="0" borderId="19" xfId="0" applyFont="1" applyBorder="1" applyAlignment="1">
      <alignment horizontal="left" indent="1"/>
    </xf>
    <xf numFmtId="164" fontId="12" fillId="4" borderId="19" xfId="0" applyNumberFormat="1" applyFont="1" applyFill="1" applyBorder="1" applyAlignment="1">
      <alignment horizontal="center"/>
    </xf>
    <xf numFmtId="164" fontId="12" fillId="0" borderId="19" xfId="0" applyNumberFormat="1" applyFont="1" applyBorder="1" applyAlignment="1">
      <alignment horizontal="center"/>
    </xf>
    <xf numFmtId="0" fontId="12" fillId="0" borderId="18" xfId="0" applyFont="1" applyBorder="1" applyAlignment="1">
      <alignment horizontal="left" indent="1"/>
    </xf>
    <xf numFmtId="164" fontId="12" fillId="4" borderId="18" xfId="0" applyNumberFormat="1" applyFont="1" applyFill="1" applyBorder="1" applyAlignment="1">
      <alignment horizontal="center"/>
    </xf>
    <xf numFmtId="164" fontId="12" fillId="0" borderId="18" xfId="0" applyNumberFormat="1" applyFont="1" applyBorder="1" applyAlignment="1">
      <alignment horizontal="center"/>
    </xf>
    <xf numFmtId="0" fontId="12" fillId="0" borderId="17" xfId="0" applyFont="1" applyBorder="1" applyAlignment="1">
      <alignment horizontal="left" wrapText="1"/>
    </xf>
    <xf numFmtId="0" fontId="12" fillId="0" borderId="12" xfId="0" applyFont="1" applyBorder="1" applyAlignment="1">
      <alignment horizontal="left" wrapText="1"/>
    </xf>
    <xf numFmtId="0" fontId="12" fillId="0" borderId="18" xfId="0" applyFont="1" applyBorder="1" applyAlignment="1">
      <alignment horizontal="left" wrapText="1"/>
    </xf>
    <xf numFmtId="4" fontId="12" fillId="4" borderId="12" xfId="0" applyNumberFormat="1" applyFont="1" applyFill="1" applyBorder="1" applyAlignment="1">
      <alignment horizontal="center"/>
    </xf>
    <xf numFmtId="4" fontId="12" fillId="0" borderId="12" xfId="0" applyNumberFormat="1" applyFont="1" applyBorder="1" applyAlignment="1">
      <alignment horizontal="center"/>
    </xf>
    <xf numFmtId="0" fontId="11" fillId="0" borderId="17" xfId="0" applyFont="1" applyBorder="1" applyAlignment="1">
      <alignment wrapText="1"/>
    </xf>
    <xf numFmtId="164" fontId="11" fillId="4" borderId="17" xfId="0" applyNumberFormat="1" applyFont="1" applyFill="1" applyBorder="1" applyAlignment="1">
      <alignment horizontal="center"/>
    </xf>
    <xf numFmtId="164" fontId="11" fillId="0" borderId="17" xfId="0" applyNumberFormat="1" applyFont="1" applyBorder="1" applyAlignment="1">
      <alignment horizontal="center"/>
    </xf>
    <xf numFmtId="0" fontId="12" fillId="0" borderId="13" xfId="0" applyFont="1" applyBorder="1" applyAlignment="1">
      <alignment horizontal="left" wrapText="1"/>
    </xf>
    <xf numFmtId="4" fontId="12" fillId="0" borderId="14" xfId="0" applyNumberFormat="1" applyFont="1" applyBorder="1" applyAlignment="1">
      <alignment horizontal="center"/>
    </xf>
    <xf numFmtId="4" fontId="12" fillId="0" borderId="7" xfId="0" applyNumberFormat="1" applyFont="1" applyBorder="1" applyAlignment="1">
      <alignment horizontal="center"/>
    </xf>
    <xf numFmtId="0" fontId="12" fillId="5" borderId="17" xfId="0" applyFont="1" applyFill="1" applyBorder="1" applyAlignment="1">
      <alignment horizontal="left" wrapText="1"/>
    </xf>
    <xf numFmtId="164" fontId="12" fillId="5" borderId="17" xfId="0" applyNumberFormat="1" applyFont="1" applyFill="1" applyBorder="1" applyAlignment="1">
      <alignment horizontal="center"/>
    </xf>
    <xf numFmtId="0" fontId="12" fillId="5" borderId="18" xfId="0" applyFont="1" applyFill="1" applyBorder="1" applyAlignment="1">
      <alignment horizontal="left" wrapText="1" indent="1"/>
    </xf>
    <xf numFmtId="164" fontId="12" fillId="5" borderId="18" xfId="0" applyNumberFormat="1" applyFont="1" applyFill="1" applyBorder="1" applyAlignment="1">
      <alignment horizontal="center"/>
    </xf>
    <xf numFmtId="0" fontId="12" fillId="5" borderId="12" xfId="0" applyFont="1" applyFill="1" applyBorder="1" applyAlignment="1">
      <alignment horizontal="left" wrapText="1"/>
    </xf>
    <xf numFmtId="4" fontId="12" fillId="5" borderId="12" xfId="0" applyNumberFormat="1" applyFont="1" applyFill="1" applyBorder="1" applyAlignment="1">
      <alignment horizontal="center"/>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0" xfId="0" applyFont="1" applyAlignment="1">
      <alignment horizontal="left" wrapText="1"/>
    </xf>
    <xf numFmtId="0" fontId="11" fillId="0" borderId="19" xfId="0" applyFont="1" applyBorder="1" applyAlignment="1">
      <alignment wrapText="1"/>
    </xf>
    <xf numFmtId="0" fontId="12" fillId="0" borderId="20" xfId="0" applyFont="1" applyBorder="1" applyAlignment="1">
      <alignment horizontal="left" wrapText="1"/>
    </xf>
    <xf numFmtId="164" fontId="12" fillId="0" borderId="0" xfId="0" applyNumberFormat="1" applyFont="1" applyAlignment="1">
      <alignment horizontal="center"/>
    </xf>
    <xf numFmtId="0" fontId="12" fillId="0" borderId="20" xfId="0" applyFont="1" applyBorder="1"/>
    <xf numFmtId="164" fontId="12" fillId="0" borderId="21" xfId="0" applyNumberFormat="1" applyFont="1" applyBorder="1" applyAlignment="1">
      <alignment horizontal="center"/>
    </xf>
    <xf numFmtId="0" fontId="13" fillId="0" borderId="15" xfId="0" applyFont="1" applyBorder="1" applyAlignment="1">
      <alignment horizontal="left" wrapText="1"/>
    </xf>
    <xf numFmtId="0" fontId="13" fillId="0" borderId="2" xfId="0" applyFont="1" applyBorder="1" applyAlignment="1">
      <alignment horizontal="left" wrapText="1"/>
    </xf>
    <xf numFmtId="0" fontId="13" fillId="0" borderId="16" xfId="0" applyFont="1" applyBorder="1" applyAlignment="1">
      <alignment horizontal="left" wrapText="1"/>
    </xf>
    <xf numFmtId="0" fontId="12" fillId="0" borderId="19" xfId="0" applyFont="1" applyBorder="1" applyAlignment="1">
      <alignment horizontal="left" wrapText="1"/>
    </xf>
    <xf numFmtId="0" fontId="15" fillId="6" borderId="0" xfId="0" applyFont="1" applyFill="1"/>
    <xf numFmtId="164" fontId="11" fillId="4" borderId="19" xfId="0" applyNumberFormat="1" applyFont="1" applyFill="1" applyBorder="1" applyAlignment="1">
      <alignment horizontal="center"/>
    </xf>
    <xf numFmtId="164" fontId="11" fillId="0" borderId="19" xfId="0" applyNumberFormat="1" applyFont="1" applyBorder="1" applyAlignment="1">
      <alignment horizontal="center"/>
    </xf>
    <xf numFmtId="164" fontId="11" fillId="4" borderId="12" xfId="0" applyNumberFormat="1" applyFont="1" applyFill="1" applyBorder="1" applyAlignment="1">
      <alignment horizontal="center"/>
    </xf>
    <xf numFmtId="164" fontId="11" fillId="0" borderId="12" xfId="0" applyNumberFormat="1" applyFont="1" applyBorder="1" applyAlignment="1">
      <alignment horizontal="center"/>
    </xf>
    <xf numFmtId="0" fontId="11" fillId="0" borderId="12" xfId="0" applyFont="1" applyBorder="1" applyAlignment="1">
      <alignment wrapText="1"/>
    </xf>
    <xf numFmtId="0" fontId="15" fillId="0" borderId="0" xfId="0" applyFont="1"/>
    <xf numFmtId="164" fontId="2" fillId="0" borderId="0" xfId="0" applyNumberFormat="1" applyFont="1" applyAlignment="1">
      <alignment horizontal="left"/>
    </xf>
    <xf numFmtId="164" fontId="1" fillId="3" borderId="0" xfId="0" applyNumberFormat="1" applyFont="1" applyFill="1" applyAlignment="1">
      <alignment horizontal="right"/>
    </xf>
    <xf numFmtId="164" fontId="2" fillId="3" borderId="0" xfId="0" applyNumberFormat="1" applyFont="1" applyFill="1" applyAlignment="1">
      <alignment horizontal="right"/>
    </xf>
    <xf numFmtId="2" fontId="15" fillId="0" borderId="0" xfId="0" applyNumberFormat="1" applyFont="1" applyAlignment="1">
      <alignment horizontal="left"/>
    </xf>
    <xf numFmtId="164" fontId="2" fillId="4" borderId="1" xfId="0" applyNumberFormat="1" applyFont="1" applyFill="1" applyBorder="1" applyAlignment="1">
      <alignment horizontal="right"/>
    </xf>
    <xf numFmtId="164" fontId="2" fillId="0" borderId="1" xfId="0" applyNumberFormat="1" applyFont="1" applyBorder="1" applyAlignment="1">
      <alignment horizontal="right"/>
    </xf>
    <xf numFmtId="164" fontId="2" fillId="3" borderId="1" xfId="0" applyNumberFormat="1" applyFont="1" applyFill="1" applyBorder="1" applyAlignment="1">
      <alignment horizontal="right"/>
    </xf>
    <xf numFmtId="0" fontId="1" fillId="0" borderId="4" xfId="0" applyFont="1" applyBorder="1" applyAlignment="1">
      <alignment horizontal="left" indent="1"/>
    </xf>
    <xf numFmtId="0" fontId="1" fillId="0" borderId="4" xfId="0" applyFont="1" applyBorder="1" applyAlignment="1">
      <alignment horizontal="center"/>
    </xf>
    <xf numFmtId="164" fontId="1" fillId="0" borderId="4" xfId="0" applyNumberFormat="1" applyFont="1" applyBorder="1" applyAlignment="1">
      <alignment horizontal="right"/>
    </xf>
    <xf numFmtId="164" fontId="1" fillId="4" borderId="5" xfId="0" applyNumberFormat="1" applyFont="1" applyFill="1" applyBorder="1" applyAlignment="1">
      <alignment horizontal="right"/>
    </xf>
    <xf numFmtId="164" fontId="1" fillId="3" borderId="4" xfId="0" applyNumberFormat="1" applyFont="1" applyFill="1" applyBorder="1" applyAlignment="1">
      <alignment horizontal="right"/>
    </xf>
    <xf numFmtId="164" fontId="2" fillId="4" borderId="22" xfId="0" applyNumberFormat="1" applyFont="1" applyFill="1" applyBorder="1" applyAlignment="1">
      <alignment horizontal="right"/>
    </xf>
    <xf numFmtId="164" fontId="2" fillId="0" borderId="22" xfId="0" applyNumberFormat="1" applyFont="1" applyBorder="1" applyAlignment="1">
      <alignment horizontal="right"/>
    </xf>
    <xf numFmtId="0" fontId="2" fillId="0" borderId="9" xfId="0" applyFont="1" applyBorder="1" applyAlignment="1">
      <alignment horizontal="center"/>
    </xf>
    <xf numFmtId="0" fontId="2" fillId="0" borderId="26" xfId="0" applyFont="1" applyBorder="1" applyAlignment="1">
      <alignment horizontal="left" indent="1"/>
    </xf>
    <xf numFmtId="0" fontId="2" fillId="0" borderId="26" xfId="0" applyFont="1" applyBorder="1" applyAlignment="1">
      <alignment horizontal="center"/>
    </xf>
    <xf numFmtId="164" fontId="2" fillId="4" borderId="26" xfId="0" applyNumberFormat="1" applyFont="1" applyFill="1" applyBorder="1" applyAlignment="1">
      <alignment horizontal="right"/>
    </xf>
    <xf numFmtId="164" fontId="2" fillId="0" borderId="26" xfId="0" applyNumberFormat="1" applyFont="1" applyBorder="1" applyAlignment="1">
      <alignment horizontal="right"/>
    </xf>
    <xf numFmtId="0" fontId="2" fillId="0" borderId="8" xfId="0" applyFont="1" applyBorder="1" applyAlignment="1">
      <alignment horizontal="left" indent="1"/>
    </xf>
    <xf numFmtId="0" fontId="2" fillId="0" borderId="8" xfId="0" applyFont="1" applyBorder="1" applyAlignment="1">
      <alignment horizontal="center"/>
    </xf>
    <xf numFmtId="164" fontId="2" fillId="0" borderId="8" xfId="0" applyNumberFormat="1" applyFont="1" applyBorder="1" applyAlignment="1">
      <alignment horizontal="right"/>
    </xf>
    <xf numFmtId="164" fontId="2" fillId="3" borderId="9" xfId="0" applyNumberFormat="1" applyFont="1" applyFill="1" applyBorder="1" applyAlignment="1">
      <alignment horizontal="right"/>
    </xf>
    <xf numFmtId="0" fontId="2" fillId="0" borderId="9" xfId="0" applyFont="1" applyBorder="1" applyAlignment="1">
      <alignment horizontal="left" indent="2"/>
    </xf>
    <xf numFmtId="0" fontId="2" fillId="0" borderId="26" xfId="0" applyFont="1" applyBorder="1" applyAlignment="1">
      <alignment horizontal="left" indent="2"/>
    </xf>
    <xf numFmtId="164" fontId="2" fillId="3" borderId="26" xfId="0" applyNumberFormat="1" applyFont="1" applyFill="1" applyBorder="1" applyAlignment="1">
      <alignment horizontal="right"/>
    </xf>
    <xf numFmtId="0" fontId="1" fillId="2" borderId="2" xfId="0" quotePrefix="1" applyFont="1" applyFill="1" applyBorder="1" applyAlignment="1">
      <alignment horizontal="right"/>
    </xf>
    <xf numFmtId="0" fontId="2" fillId="0" borderId="17" xfId="0" applyFont="1" applyBorder="1"/>
    <xf numFmtId="0" fontId="13" fillId="0" borderId="18" xfId="0" applyFont="1" applyBorder="1" applyAlignment="1">
      <alignment horizontal="left" wrapText="1"/>
    </xf>
    <xf numFmtId="0" fontId="11" fillId="7" borderId="17" xfId="0" applyFont="1" applyFill="1" applyBorder="1" applyAlignment="1">
      <alignment horizontal="center"/>
    </xf>
    <xf numFmtId="0" fontId="12" fillId="0" borderId="19" xfId="0" applyFont="1" applyBorder="1" applyAlignment="1">
      <alignment wrapText="1"/>
    </xf>
    <xf numFmtId="0" fontId="11" fillId="0" borderId="19" xfId="0" applyFont="1" applyBorder="1"/>
    <xf numFmtId="0" fontId="11" fillId="2" borderId="19" xfId="0" applyFont="1" applyFill="1" applyBorder="1" applyAlignment="1">
      <alignment horizontal="center"/>
    </xf>
    <xf numFmtId="0" fontId="13" fillId="7" borderId="17" xfId="0" applyFont="1" applyFill="1" applyBorder="1" applyAlignment="1">
      <alignment horizontal="left" wrapText="1"/>
    </xf>
    <xf numFmtId="0" fontId="18" fillId="7" borderId="20" xfId="0" applyFont="1" applyFill="1" applyBorder="1" applyAlignment="1">
      <alignment horizontal="left" wrapText="1"/>
    </xf>
    <xf numFmtId="0" fontId="3" fillId="0" borderId="29" xfId="0" applyFont="1" applyBorder="1"/>
    <xf numFmtId="164" fontId="3" fillId="4" borderId="29" xfId="0" applyNumberFormat="1" applyFont="1" applyFill="1" applyBorder="1" applyAlignment="1">
      <alignment horizontal="center"/>
    </xf>
    <xf numFmtId="164" fontId="3" fillId="0" borderId="29" xfId="0" applyNumberFormat="1" applyFont="1" applyBorder="1" applyAlignment="1">
      <alignment horizontal="center"/>
    </xf>
    <xf numFmtId="0" fontId="3" fillId="0" borderId="29" xfId="0" applyFont="1" applyBorder="1" applyAlignment="1">
      <alignment horizontal="left" wrapText="1"/>
    </xf>
    <xf numFmtId="0" fontId="3" fillId="0" borderId="30" xfId="0" applyFont="1" applyBorder="1" applyAlignment="1">
      <alignment horizontal="left" wrapText="1"/>
    </xf>
    <xf numFmtId="164" fontId="3" fillId="4" borderId="30" xfId="0" applyNumberFormat="1" applyFont="1" applyFill="1" applyBorder="1" applyAlignment="1">
      <alignment horizontal="center"/>
    </xf>
    <xf numFmtId="164" fontId="3" fillId="0" borderId="30" xfId="0" applyNumberFormat="1" applyFont="1" applyBorder="1" applyAlignment="1">
      <alignment horizontal="center"/>
    </xf>
    <xf numFmtId="0" fontId="3" fillId="0" borderId="29" xfId="0" applyFont="1" applyBorder="1" applyAlignment="1">
      <alignment wrapText="1"/>
    </xf>
    <xf numFmtId="4" fontId="3" fillId="4" borderId="29" xfId="0" applyNumberFormat="1" applyFont="1" applyFill="1" applyBorder="1" applyAlignment="1">
      <alignment horizontal="center"/>
    </xf>
    <xf numFmtId="4" fontId="3" fillId="0" borderId="29" xfId="0" applyNumberFormat="1" applyFont="1" applyBorder="1" applyAlignment="1">
      <alignment horizontal="center"/>
    </xf>
    <xf numFmtId="0" fontId="3" fillId="0" borderId="19" xfId="0" applyFont="1" applyBorder="1" applyAlignment="1">
      <alignment wrapText="1"/>
    </xf>
    <xf numFmtId="0" fontId="3" fillId="0" borderId="30" xfId="0" applyFont="1" applyBorder="1" applyAlignment="1">
      <alignment wrapText="1"/>
    </xf>
    <xf numFmtId="164" fontId="3" fillId="4" borderId="18" xfId="0" applyNumberFormat="1" applyFont="1" applyFill="1" applyBorder="1" applyAlignment="1">
      <alignment horizontal="center"/>
    </xf>
    <xf numFmtId="164" fontId="3" fillId="0" borderId="18" xfId="0" applyNumberFormat="1" applyFont="1" applyBorder="1" applyAlignment="1">
      <alignment horizontal="center"/>
    </xf>
    <xf numFmtId="15" fontId="11" fillId="2" borderId="19" xfId="0" applyNumberFormat="1" applyFont="1" applyFill="1" applyBorder="1" applyAlignment="1">
      <alignment horizontal="center"/>
    </xf>
    <xf numFmtId="4" fontId="3" fillId="4" borderId="19" xfId="0" applyNumberFormat="1" applyFont="1" applyFill="1" applyBorder="1" applyAlignment="1">
      <alignment horizontal="center"/>
    </xf>
    <xf numFmtId="4" fontId="3" fillId="0" borderId="19" xfId="0" applyNumberFormat="1" applyFont="1" applyBorder="1" applyAlignment="1">
      <alignment horizontal="center"/>
    </xf>
    <xf numFmtId="0" fontId="21" fillId="0" borderId="0" xfId="0" applyFont="1"/>
    <xf numFmtId="2" fontId="2" fillId="4" borderId="4" xfId="0" applyNumberFormat="1" applyFont="1" applyFill="1" applyBorder="1" applyAlignment="1">
      <alignment horizontal="right"/>
    </xf>
    <xf numFmtId="165" fontId="2" fillId="4" borderId="4" xfId="0" applyNumberFormat="1" applyFont="1" applyFill="1" applyBorder="1" applyAlignment="1">
      <alignment horizontal="right"/>
    </xf>
    <xf numFmtId="165" fontId="2" fillId="0" borderId="4" xfId="0" applyNumberFormat="1" applyFont="1" applyBorder="1" applyAlignment="1">
      <alignment horizontal="right"/>
    </xf>
    <xf numFmtId="0" fontId="2" fillId="6" borderId="4" xfId="0" applyFont="1" applyFill="1" applyBorder="1" applyAlignment="1">
      <alignment horizontal="left" indent="1"/>
    </xf>
    <xf numFmtId="0" fontId="16" fillId="0" borderId="0" xfId="0" applyFont="1"/>
    <xf numFmtId="3" fontId="2" fillId="4" borderId="22" xfId="0" applyNumberFormat="1" applyFont="1" applyFill="1" applyBorder="1" applyAlignment="1">
      <alignment horizontal="right"/>
    </xf>
    <xf numFmtId="3" fontId="2" fillId="0" borderId="22" xfId="0" applyNumberFormat="1" applyFont="1" applyBorder="1" applyAlignment="1">
      <alignment horizontal="right"/>
    </xf>
    <xf numFmtId="0" fontId="1" fillId="2" borderId="7" xfId="0" applyFont="1" applyFill="1" applyBorder="1" applyAlignment="1">
      <alignment horizontal="right"/>
    </xf>
    <xf numFmtId="0" fontId="1" fillId="2" borderId="14" xfId="0" applyFont="1" applyFill="1" applyBorder="1" applyAlignment="1">
      <alignment horizontal="right"/>
    </xf>
    <xf numFmtId="0" fontId="1" fillId="2" borderId="16" xfId="0" applyFont="1" applyFill="1" applyBorder="1" applyAlignment="1">
      <alignment horizontal="right"/>
    </xf>
    <xf numFmtId="164" fontId="2" fillId="0" borderId="42" xfId="0" applyNumberFormat="1" applyFont="1" applyBorder="1" applyAlignment="1">
      <alignment horizontal="right"/>
    </xf>
    <xf numFmtId="165" fontId="2" fillId="0" borderId="42" xfId="0" applyNumberFormat="1" applyFont="1" applyBorder="1" applyAlignment="1">
      <alignment horizontal="right"/>
    </xf>
    <xf numFmtId="3" fontId="2" fillId="0" borderId="42" xfId="0" applyNumberFormat="1" applyFont="1" applyBorder="1" applyAlignment="1">
      <alignment horizontal="right"/>
    </xf>
    <xf numFmtId="3" fontId="2" fillId="0" borderId="43" xfId="0" applyNumberFormat="1" applyFont="1" applyBorder="1" applyAlignment="1">
      <alignment horizontal="right"/>
    </xf>
    <xf numFmtId="0" fontId="1" fillId="2" borderId="21" xfId="0" applyFont="1" applyFill="1" applyBorder="1" applyAlignment="1">
      <alignment horizontal="right"/>
    </xf>
    <xf numFmtId="2" fontId="2" fillId="0" borderId="42" xfId="0" applyNumberFormat="1" applyFont="1" applyBorder="1" applyAlignment="1">
      <alignment horizontal="right"/>
    </xf>
    <xf numFmtId="164" fontId="2" fillId="0" borderId="43" xfId="0" applyNumberFormat="1" applyFont="1" applyBorder="1" applyAlignment="1">
      <alignment horizontal="right"/>
    </xf>
    <xf numFmtId="0" fontId="1" fillId="2" borderId="20" xfId="0" applyFont="1" applyFill="1" applyBorder="1"/>
    <xf numFmtId="0" fontId="2" fillId="3" borderId="44" xfId="0" applyFont="1" applyFill="1" applyBorder="1" applyAlignment="1">
      <alignment horizontal="left"/>
    </xf>
    <xf numFmtId="0" fontId="1" fillId="2" borderId="13" xfId="0" applyFont="1" applyFill="1" applyBorder="1"/>
    <xf numFmtId="4" fontId="2" fillId="3" borderId="44" xfId="0" applyNumberFormat="1" applyFont="1" applyFill="1" applyBorder="1" applyAlignment="1">
      <alignment horizontal="left"/>
    </xf>
    <xf numFmtId="0" fontId="2" fillId="3" borderId="45" xfId="0" applyFont="1" applyFill="1" applyBorder="1" applyAlignment="1">
      <alignment horizontal="left"/>
    </xf>
    <xf numFmtId="164" fontId="2" fillId="4" borderId="46" xfId="0" applyNumberFormat="1" applyFont="1" applyFill="1" applyBorder="1" applyAlignment="1">
      <alignment horizontal="right"/>
    </xf>
    <xf numFmtId="164" fontId="2" fillId="0" borderId="46" xfId="0" applyNumberFormat="1" applyFont="1" applyBorder="1" applyAlignment="1">
      <alignment horizontal="right"/>
    </xf>
    <xf numFmtId="164" fontId="2" fillId="0" borderId="47" xfId="0" applyNumberFormat="1" applyFont="1" applyBorder="1" applyAlignment="1">
      <alignment horizontal="right"/>
    </xf>
    <xf numFmtId="0" fontId="2" fillId="3" borderId="15" xfId="0" applyFont="1" applyFill="1" applyBorder="1" applyAlignment="1">
      <alignment horizontal="left"/>
    </xf>
    <xf numFmtId="164" fontId="2" fillId="0" borderId="16" xfId="0" applyNumberFormat="1" applyFont="1" applyBorder="1" applyAlignment="1">
      <alignment horizontal="right"/>
    </xf>
    <xf numFmtId="0" fontId="2" fillId="3" borderId="20" xfId="0" applyFont="1" applyFill="1" applyBorder="1" applyAlignment="1">
      <alignment horizontal="left"/>
    </xf>
    <xf numFmtId="164" fontId="2" fillId="0" borderId="21" xfId="0" applyNumberFormat="1" applyFont="1" applyBorder="1" applyAlignment="1">
      <alignment horizontal="right"/>
    </xf>
    <xf numFmtId="0" fontId="1" fillId="2" borderId="15" xfId="0" applyFont="1" applyFill="1" applyBorder="1"/>
    <xf numFmtId="0" fontId="2" fillId="0" borderId="44" xfId="0" applyFont="1" applyBorder="1" applyAlignment="1">
      <alignment horizontal="left"/>
    </xf>
    <xf numFmtId="0" fontId="2" fillId="0" borderId="48" xfId="0" applyFont="1" applyBorder="1" applyAlignment="1">
      <alignment horizontal="left"/>
    </xf>
    <xf numFmtId="0" fontId="11" fillId="0" borderId="0" xfId="0" applyFont="1"/>
    <xf numFmtId="0" fontId="51" fillId="0" borderId="0" xfId="0" applyFont="1"/>
    <xf numFmtId="167" fontId="51" fillId="11" borderId="0" xfId="2" applyNumberFormat="1" applyFont="1" applyFill="1" applyAlignment="1">
      <alignment horizontal="right"/>
    </xf>
    <xf numFmtId="167" fontId="59" fillId="8" borderId="5" xfId="2" applyNumberFormat="1" applyFont="1" applyFill="1" applyBorder="1" applyAlignment="1">
      <alignment horizontal="right"/>
    </xf>
    <xf numFmtId="166" fontId="51" fillId="0" borderId="0" xfId="2" applyNumberFormat="1" applyFont="1" applyAlignment="1">
      <alignment horizontal="right"/>
    </xf>
    <xf numFmtId="1" fontId="52" fillId="10" borderId="0" xfId="0" applyNumberFormat="1" applyFont="1" applyFill="1" applyAlignment="1">
      <alignment horizontal="right"/>
    </xf>
    <xf numFmtId="167" fontId="51" fillId="11" borderId="0" xfId="2" applyNumberFormat="1" applyFont="1" applyFill="1"/>
    <xf numFmtId="166" fontId="27" fillId="18" borderId="0" xfId="2" applyNumberFormat="1" applyFont="1" applyFill="1" applyAlignment="1">
      <alignment horizontal="left" vertical="top"/>
    </xf>
    <xf numFmtId="166" fontId="78" fillId="18" borderId="4" xfId="2" applyNumberFormat="1" applyFont="1" applyFill="1" applyBorder="1" applyAlignment="1">
      <alignment vertical="top"/>
    </xf>
    <xf numFmtId="167" fontId="58" fillId="8" borderId="0" xfId="2" applyNumberFormat="1" applyFont="1" applyFill="1"/>
    <xf numFmtId="167" fontId="58" fillId="8" borderId="2" xfId="2" applyNumberFormat="1" applyFont="1" applyFill="1" applyBorder="1"/>
    <xf numFmtId="167" fontId="2" fillId="3" borderId="4" xfId="2" applyNumberFormat="1" applyFont="1" applyFill="1" applyBorder="1" applyAlignment="1">
      <alignment horizontal="right"/>
    </xf>
    <xf numFmtId="167" fontId="58" fillId="8" borderId="0" xfId="2" applyNumberFormat="1" applyFont="1" applyFill="1" applyAlignment="1">
      <alignment horizontal="left"/>
    </xf>
    <xf numFmtId="167" fontId="59" fillId="8" borderId="4" xfId="2" applyNumberFormat="1" applyFont="1" applyFill="1" applyBorder="1" applyAlignment="1">
      <alignment horizontal="right"/>
    </xf>
    <xf numFmtId="167" fontId="59" fillId="8" borderId="1" xfId="2" applyNumberFormat="1" applyFont="1" applyFill="1" applyBorder="1" applyAlignment="1">
      <alignment horizontal="right"/>
    </xf>
    <xf numFmtId="167" fontId="51" fillId="11" borderId="2" xfId="2" applyNumberFormat="1" applyFont="1" applyFill="1" applyBorder="1" applyAlignment="1">
      <alignment horizontal="right"/>
    </xf>
    <xf numFmtId="167" fontId="56" fillId="9" borderId="0" xfId="2" applyNumberFormat="1" applyFont="1" applyFill="1" applyAlignment="1">
      <alignment horizontal="right"/>
    </xf>
    <xf numFmtId="167" fontId="2" fillId="4" borderId="4" xfId="2" applyNumberFormat="1" applyFont="1" applyFill="1" applyBorder="1" applyAlignment="1">
      <alignment horizontal="right"/>
    </xf>
    <xf numFmtId="167" fontId="2" fillId="4" borderId="5" xfId="2" applyNumberFormat="1" applyFont="1" applyFill="1" applyBorder="1" applyAlignment="1">
      <alignment horizontal="right"/>
    </xf>
    <xf numFmtId="167" fontId="2" fillId="4" borderId="39" xfId="2" applyNumberFormat="1" applyFont="1" applyFill="1" applyBorder="1" applyAlignment="1">
      <alignment horizontal="right"/>
    </xf>
    <xf numFmtId="167" fontId="1" fillId="4" borderId="0" xfId="2" applyNumberFormat="1" applyFont="1" applyFill="1" applyAlignment="1">
      <alignment horizontal="right"/>
    </xf>
    <xf numFmtId="166" fontId="2" fillId="3" borderId="5" xfId="2" applyNumberFormat="1" applyFont="1" applyFill="1" applyBorder="1" applyAlignment="1">
      <alignment horizontal="left"/>
    </xf>
    <xf numFmtId="167" fontId="6" fillId="4" borderId="4" xfId="2" applyNumberFormat="1" applyFont="1" applyFill="1" applyBorder="1" applyAlignment="1">
      <alignment horizontal="right"/>
    </xf>
    <xf numFmtId="167" fontId="1" fillId="4" borderId="4" xfId="2" applyNumberFormat="1" applyFont="1" applyFill="1" applyBorder="1" applyAlignment="1">
      <alignment horizontal="right"/>
    </xf>
    <xf numFmtId="167" fontId="2" fillId="3" borderId="0" xfId="2" applyNumberFormat="1" applyFont="1" applyFill="1" applyAlignment="1">
      <alignment horizontal="right"/>
    </xf>
    <xf numFmtId="167" fontId="2" fillId="3" borderId="5" xfId="2" applyNumberFormat="1" applyFont="1" applyFill="1" applyBorder="1" applyAlignment="1">
      <alignment horizontal="right"/>
    </xf>
    <xf numFmtId="167" fontId="1" fillId="3" borderId="0" xfId="2" applyNumberFormat="1" applyFont="1" applyFill="1" applyAlignment="1">
      <alignment horizontal="right"/>
    </xf>
    <xf numFmtId="167" fontId="6" fillId="3" borderId="4" xfId="2" applyNumberFormat="1" applyFont="1" applyFill="1" applyBorder="1" applyAlignment="1">
      <alignment horizontal="right"/>
    </xf>
    <xf numFmtId="167" fontId="2" fillId="3" borderId="0" xfId="2" applyNumberFormat="1" applyFont="1" applyFill="1" applyBorder="1" applyAlignment="1">
      <alignment horizontal="right"/>
    </xf>
    <xf numFmtId="168" fontId="24" fillId="11" borderId="0" xfId="1" applyNumberFormat="1" applyFont="1" applyFill="1" applyAlignment="1">
      <alignment horizontal="right"/>
    </xf>
    <xf numFmtId="167" fontId="2" fillId="3" borderId="39" xfId="2" applyNumberFormat="1" applyFont="1" applyFill="1" applyBorder="1" applyAlignment="1">
      <alignment horizontal="right"/>
    </xf>
    <xf numFmtId="167" fontId="1" fillId="3" borderId="4" xfId="2" applyNumberFormat="1" applyFont="1" applyFill="1" applyBorder="1" applyAlignment="1">
      <alignment horizontal="right"/>
    </xf>
    <xf numFmtId="168" fontId="2" fillId="0" borderId="4" xfId="1" applyNumberFormat="1" applyFont="1" applyBorder="1" applyAlignment="1">
      <alignment horizontal="right" vertical="center"/>
    </xf>
    <xf numFmtId="169" fontId="3" fillId="0" borderId="0" xfId="0" applyNumberFormat="1" applyFont="1"/>
    <xf numFmtId="169" fontId="3" fillId="0" borderId="0" xfId="0" applyNumberFormat="1" applyFont="1" applyAlignment="1">
      <alignment horizontal="center"/>
    </xf>
    <xf numFmtId="169" fontId="3" fillId="0" borderId="0" xfId="0" applyNumberFormat="1" applyFont="1" applyAlignment="1">
      <alignment horizontal="right"/>
    </xf>
    <xf numFmtId="169" fontId="34" fillId="0" borderId="2" xfId="0" applyNumberFormat="1" applyFont="1" applyBorder="1"/>
    <xf numFmtId="169" fontId="29" fillId="0" borderId="2" xfId="0" applyNumberFormat="1" applyFont="1" applyBorder="1" applyAlignment="1">
      <alignment horizontal="center"/>
    </xf>
    <xf numFmtId="169" fontId="29" fillId="0" borderId="2" xfId="0" applyNumberFormat="1" applyFont="1" applyBorder="1" applyAlignment="1">
      <alignment horizontal="right"/>
    </xf>
    <xf numFmtId="169" fontId="29" fillId="0" borderId="2" xfId="0" applyNumberFormat="1" applyFont="1" applyBorder="1" applyAlignment="1">
      <alignment horizontal="left"/>
    </xf>
    <xf numFmtId="169" fontId="34" fillId="0" borderId="2" xfId="0" applyNumberFormat="1" applyFont="1" applyBorder="1" applyAlignment="1">
      <alignment horizontal="right"/>
    </xf>
    <xf numFmtId="169" fontId="30" fillId="0" borderId="0" xfId="0" applyNumberFormat="1" applyFont="1"/>
    <xf numFmtId="169" fontId="30" fillId="0" borderId="2" xfId="0" applyNumberFormat="1" applyFont="1" applyBorder="1" applyAlignment="1">
      <alignment horizontal="center"/>
    </xf>
    <xf numFmtId="169" fontId="31" fillId="0" borderId="2" xfId="0" applyNumberFormat="1" applyFont="1" applyBorder="1" applyAlignment="1">
      <alignment horizontal="left"/>
    </xf>
    <xf numFmtId="169" fontId="30" fillId="0" borderId="2" xfId="0" applyNumberFormat="1" applyFont="1" applyBorder="1" applyAlignment="1">
      <alignment horizontal="right"/>
    </xf>
    <xf numFmtId="169" fontId="30" fillId="0" borderId="2" xfId="0" applyNumberFormat="1" applyFont="1" applyBorder="1"/>
    <xf numFmtId="169" fontId="3" fillId="3" borderId="0" xfId="0" applyNumberFormat="1" applyFont="1" applyFill="1" applyAlignment="1">
      <alignment horizontal="center"/>
    </xf>
    <xf numFmtId="169" fontId="28" fillId="10" borderId="0" xfId="0" applyNumberFormat="1" applyFont="1" applyFill="1" applyAlignment="1">
      <alignment horizontal="right"/>
    </xf>
    <xf numFmtId="169" fontId="1" fillId="0" borderId="0" xfId="0" applyNumberFormat="1" applyFont="1"/>
    <xf numFmtId="169" fontId="1" fillId="0" borderId="0" xfId="0" applyNumberFormat="1" applyFont="1" applyAlignment="1">
      <alignment horizontal="center"/>
    </xf>
    <xf numFmtId="169" fontId="2" fillId="0" borderId="0" xfId="0" applyNumberFormat="1" applyFont="1"/>
    <xf numFmtId="169" fontId="1" fillId="2" borderId="0" xfId="0" applyNumberFormat="1" applyFont="1" applyFill="1"/>
    <xf numFmtId="169" fontId="1" fillId="2" borderId="0" xfId="0" applyNumberFormat="1" applyFont="1" applyFill="1" applyAlignment="1">
      <alignment horizontal="right"/>
    </xf>
    <xf numFmtId="169" fontId="1" fillId="3" borderId="0" xfId="0" applyNumberFormat="1" applyFont="1" applyFill="1"/>
    <xf numFmtId="169" fontId="32" fillId="0" borderId="0" xfId="0" applyNumberFormat="1" applyFont="1"/>
    <xf numFmtId="169" fontId="3" fillId="8" borderId="0" xfId="0" applyNumberFormat="1" applyFont="1" applyFill="1"/>
    <xf numFmtId="169" fontId="2" fillId="2" borderId="0" xfId="0" applyNumberFormat="1" applyFont="1" applyFill="1"/>
    <xf numFmtId="169" fontId="2" fillId="2" borderId="0" xfId="0" applyNumberFormat="1" applyFont="1" applyFill="1" applyAlignment="1">
      <alignment horizontal="center"/>
    </xf>
    <xf numFmtId="169" fontId="1" fillId="2" borderId="0" xfId="0" applyNumberFormat="1" applyFont="1" applyFill="1" applyAlignment="1">
      <alignment horizontal="center"/>
    </xf>
    <xf numFmtId="169" fontId="77" fillId="0" borderId="0" xfId="0" applyNumberFormat="1" applyFont="1" applyAlignment="1">
      <alignment horizontal="right"/>
    </xf>
    <xf numFmtId="169" fontId="3" fillId="0" borderId="0" xfId="0" applyNumberFormat="1" applyFont="1" applyAlignment="1">
      <alignment vertical="top"/>
    </xf>
    <xf numFmtId="169" fontId="1" fillId="0" borderId="2" xfId="0" applyNumberFormat="1" applyFont="1" applyBorder="1" applyAlignment="1">
      <alignment horizontal="right"/>
    </xf>
    <xf numFmtId="169" fontId="2" fillId="0" borderId="2" xfId="0" applyNumberFormat="1" applyFont="1" applyBorder="1"/>
    <xf numFmtId="169" fontId="2" fillId="3" borderId="0" xfId="0" applyNumberFormat="1" applyFont="1" applyFill="1"/>
    <xf numFmtId="169" fontId="1" fillId="2" borderId="2" xfId="0" applyNumberFormat="1" applyFont="1" applyFill="1" applyBorder="1"/>
    <xf numFmtId="169" fontId="1" fillId="2" borderId="2" xfId="0" applyNumberFormat="1" applyFont="1" applyFill="1" applyBorder="1" applyAlignment="1">
      <alignment horizontal="center"/>
    </xf>
    <xf numFmtId="169" fontId="1" fillId="2" borderId="2" xfId="0" applyNumberFormat="1" applyFont="1" applyFill="1" applyBorder="1" applyAlignment="1">
      <alignment horizontal="right"/>
    </xf>
    <xf numFmtId="169" fontId="1" fillId="2" borderId="13" xfId="0" applyNumberFormat="1" applyFont="1" applyFill="1" applyBorder="1"/>
    <xf numFmtId="169" fontId="1" fillId="2" borderId="7" xfId="0" applyNumberFormat="1" applyFont="1" applyFill="1" applyBorder="1" applyAlignment="1">
      <alignment horizontal="right"/>
    </xf>
    <xf numFmtId="169" fontId="2" fillId="3" borderId="4" xfId="0" applyNumberFormat="1" applyFont="1" applyFill="1" applyBorder="1" applyAlignment="1">
      <alignment vertical="top"/>
    </xf>
    <xf numFmtId="169" fontId="2" fillId="11" borderId="27" xfId="0" applyNumberFormat="1" applyFont="1" applyFill="1" applyBorder="1" applyAlignment="1">
      <alignment horizontal="left" vertical="top"/>
    </xf>
    <xf numFmtId="169" fontId="2" fillId="11" borderId="27" xfId="0" applyNumberFormat="1" applyFont="1" applyFill="1" applyBorder="1" applyAlignment="1">
      <alignment horizontal="right" vertical="top"/>
    </xf>
    <xf numFmtId="169" fontId="3" fillId="8" borderId="0" xfId="0" applyNumberFormat="1" applyFont="1" applyFill="1" applyAlignment="1">
      <alignment vertical="top"/>
    </xf>
    <xf numFmtId="169" fontId="3" fillId="0" borderId="0" xfId="0" applyNumberFormat="1" applyFont="1" applyAlignment="1">
      <alignment horizontal="right" vertical="top"/>
    </xf>
    <xf numFmtId="169" fontId="3" fillId="3" borderId="29" xfId="0" applyNumberFormat="1" applyFont="1" applyFill="1" applyBorder="1"/>
    <xf numFmtId="169" fontId="3" fillId="0" borderId="29" xfId="0" applyNumberFormat="1" applyFont="1" applyBorder="1" applyAlignment="1">
      <alignment horizontal="center"/>
    </xf>
    <xf numFmtId="169" fontId="1" fillId="2" borderId="15" xfId="0" applyNumberFormat="1" applyFont="1" applyFill="1" applyBorder="1"/>
    <xf numFmtId="169" fontId="2" fillId="0" borderId="25" xfId="0" applyNumberFormat="1" applyFont="1" applyBorder="1" applyAlignment="1">
      <alignment vertical="center"/>
    </xf>
    <xf numFmtId="169" fontId="2" fillId="4" borderId="27" xfId="0" applyNumberFormat="1" applyFont="1" applyFill="1" applyBorder="1" applyAlignment="1">
      <alignment vertical="center"/>
    </xf>
    <xf numFmtId="169" fontId="2" fillId="3" borderId="5" xfId="0" applyNumberFormat="1" applyFont="1" applyFill="1" applyBorder="1" applyAlignment="1">
      <alignment vertical="top"/>
    </xf>
    <xf numFmtId="169" fontId="2" fillId="3" borderId="5" xfId="0" applyNumberFormat="1" applyFont="1" applyFill="1" applyBorder="1" applyAlignment="1">
      <alignment horizontal="center" vertical="top"/>
    </xf>
    <xf numFmtId="169" fontId="2" fillId="11" borderId="28" xfId="0" applyNumberFormat="1" applyFont="1" applyFill="1" applyBorder="1" applyAlignment="1">
      <alignment horizontal="left" vertical="top"/>
    </xf>
    <xf numFmtId="169" fontId="2" fillId="8" borderId="28" xfId="0" applyNumberFormat="1" applyFont="1" applyFill="1" applyBorder="1" applyAlignment="1">
      <alignment horizontal="left" vertical="top"/>
    </xf>
    <xf numFmtId="169" fontId="3" fillId="0" borderId="20" xfId="0" applyNumberFormat="1" applyFont="1" applyBorder="1"/>
    <xf numFmtId="169" fontId="3" fillId="0" borderId="18" xfId="0" applyNumberFormat="1" applyFont="1" applyBorder="1" applyAlignment="1">
      <alignment horizontal="center"/>
    </xf>
    <xf numFmtId="169" fontId="2" fillId="0" borderId="44" xfId="0" applyNumberFormat="1" applyFont="1" applyBorder="1" applyAlignment="1">
      <alignment horizontal="left"/>
    </xf>
    <xf numFmtId="169" fontId="2" fillId="0" borderId="4" xfId="0" applyNumberFormat="1" applyFont="1" applyBorder="1" applyAlignment="1">
      <alignment horizontal="right"/>
    </xf>
    <xf numFmtId="169" fontId="2" fillId="4" borderId="4" xfId="0" applyNumberFormat="1" applyFont="1" applyFill="1" applyBorder="1" applyAlignment="1">
      <alignment horizontal="right"/>
    </xf>
    <xf numFmtId="169" fontId="2" fillId="0" borderId="42" xfId="0" applyNumberFormat="1" applyFont="1" applyBorder="1" applyAlignment="1">
      <alignment horizontal="right"/>
    </xf>
    <xf numFmtId="169" fontId="2" fillId="0" borderId="9" xfId="0" applyNumberFormat="1" applyFont="1" applyBorder="1" applyAlignment="1">
      <alignment vertical="center"/>
    </xf>
    <xf numFmtId="169" fontId="2" fillId="4" borderId="28" xfId="0" applyNumberFormat="1" applyFont="1" applyFill="1" applyBorder="1" applyAlignment="1">
      <alignment vertical="center"/>
    </xf>
    <xf numFmtId="169" fontId="1" fillId="3" borderId="0" xfId="0" applyNumberFormat="1" applyFont="1" applyFill="1" applyAlignment="1">
      <alignment vertical="top"/>
    </xf>
    <xf numFmtId="169" fontId="1" fillId="3" borderId="0" xfId="0" applyNumberFormat="1" applyFont="1" applyFill="1" applyAlignment="1">
      <alignment horizontal="center" vertical="top"/>
    </xf>
    <xf numFmtId="169" fontId="1" fillId="11" borderId="11" xfId="0" applyNumberFormat="1" applyFont="1" applyFill="1" applyBorder="1" applyAlignment="1">
      <alignment horizontal="left" vertical="top"/>
    </xf>
    <xf numFmtId="169" fontId="1" fillId="11" borderId="11" xfId="0" applyNumberFormat="1" applyFont="1" applyFill="1" applyBorder="1" applyAlignment="1">
      <alignment horizontal="right" vertical="top"/>
    </xf>
    <xf numFmtId="169" fontId="3" fillId="3" borderId="0" xfId="0" applyNumberFormat="1" applyFont="1" applyFill="1" applyAlignment="1">
      <alignment horizontal="left"/>
    </xf>
    <xf numFmtId="169" fontId="3" fillId="3" borderId="0" xfId="0" applyNumberFormat="1" applyFont="1" applyFill="1" applyAlignment="1">
      <alignment horizontal="left" wrapText="1"/>
    </xf>
    <xf numFmtId="169" fontId="2" fillId="3" borderId="44" xfId="0" applyNumberFormat="1" applyFont="1" applyFill="1" applyBorder="1" applyAlignment="1">
      <alignment horizontal="left"/>
    </xf>
    <xf numFmtId="169" fontId="1" fillId="0" borderId="11" xfId="0" applyNumberFormat="1" applyFont="1" applyBorder="1" applyAlignment="1">
      <alignment vertical="center"/>
    </xf>
    <xf numFmtId="169" fontId="1" fillId="4" borderId="11" xfId="0" applyNumberFormat="1" applyFont="1" applyFill="1" applyBorder="1" applyAlignment="1">
      <alignment vertical="center"/>
    </xf>
    <xf numFmtId="169" fontId="2" fillId="3" borderId="4" xfId="0" applyNumberFormat="1" applyFont="1" applyFill="1" applyBorder="1" applyAlignment="1">
      <alignment horizontal="center" vertical="top"/>
    </xf>
    <xf numFmtId="169" fontId="2" fillId="0" borderId="0" xfId="0" applyNumberFormat="1" applyFont="1" applyAlignment="1">
      <alignment vertical="top"/>
    </xf>
    <xf numFmtId="169" fontId="2" fillId="0" borderId="8" xfId="0" applyNumberFormat="1" applyFont="1" applyBorder="1" applyAlignment="1">
      <alignment vertical="center"/>
    </xf>
    <xf numFmtId="169" fontId="2" fillId="4" borderId="8" xfId="0" applyNumberFormat="1" applyFont="1" applyFill="1" applyBorder="1" applyAlignment="1">
      <alignment vertical="center"/>
    </xf>
    <xf numFmtId="169" fontId="2" fillId="4" borderId="9" xfId="0" applyNumberFormat="1" applyFont="1" applyFill="1" applyBorder="1" applyAlignment="1">
      <alignment vertical="center"/>
    </xf>
    <xf numFmtId="169" fontId="15" fillId="6" borderId="0" xfId="2" applyNumberFormat="1" applyFont="1" applyFill="1" applyAlignment="1">
      <alignment horizontal="centerContinuous" vertical="top" wrapText="1"/>
    </xf>
    <xf numFmtId="169" fontId="3" fillId="3" borderId="0" xfId="0" applyNumberFormat="1" applyFont="1" applyFill="1" applyAlignment="1">
      <alignment vertical="top"/>
    </xf>
    <xf numFmtId="169" fontId="15" fillId="6" borderId="0" xfId="0" applyNumberFormat="1" applyFont="1" applyFill="1" applyAlignment="1">
      <alignment horizontal="centerContinuous" vertical="top"/>
    </xf>
    <xf numFmtId="169" fontId="15" fillId="6" borderId="0" xfId="0" applyNumberFormat="1" applyFont="1" applyFill="1" applyAlignment="1">
      <alignment horizontal="left" vertical="top"/>
    </xf>
    <xf numFmtId="169" fontId="2" fillId="0" borderId="11" xfId="0" applyNumberFormat="1" applyFont="1" applyBorder="1" applyAlignment="1">
      <alignment vertical="center"/>
    </xf>
    <xf numFmtId="169" fontId="2" fillId="4" borderId="11" xfId="0" applyNumberFormat="1" applyFont="1" applyFill="1" applyBorder="1" applyAlignment="1">
      <alignment vertical="center"/>
    </xf>
    <xf numFmtId="169" fontId="2" fillId="11" borderId="8" xfId="0" applyNumberFormat="1" applyFont="1" applyFill="1" applyBorder="1" applyAlignment="1">
      <alignment horizontal="left" vertical="top"/>
    </xf>
    <xf numFmtId="169" fontId="2" fillId="11" borderId="8" xfId="0" applyNumberFormat="1" applyFont="1" applyFill="1" applyBorder="1" applyAlignment="1">
      <alignment horizontal="right" vertical="top"/>
    </xf>
    <xf numFmtId="169" fontId="6" fillId="11" borderId="0" xfId="0" applyNumberFormat="1" applyFont="1" applyFill="1" applyAlignment="1">
      <alignment horizontal="left" vertical="top"/>
    </xf>
    <xf numFmtId="169" fontId="6" fillId="8" borderId="0" xfId="0" applyNumberFormat="1" applyFont="1" applyFill="1" applyAlignment="1">
      <alignment horizontal="left" vertical="top"/>
    </xf>
    <xf numFmtId="169" fontId="6" fillId="0" borderId="0" xfId="0" applyNumberFormat="1" applyFont="1" applyAlignment="1">
      <alignment horizontal="left" vertical="center" indent="1"/>
    </xf>
    <xf numFmtId="169" fontId="6" fillId="4" borderId="0" xfId="0" applyNumberFormat="1" applyFont="1" applyFill="1" applyAlignment="1">
      <alignment vertical="center"/>
    </xf>
    <xf numFmtId="169" fontId="6" fillId="0" borderId="8" xfId="0" applyNumberFormat="1" applyFont="1" applyBorder="1" applyAlignment="1">
      <alignment horizontal="left" vertical="center" indent="1"/>
    </xf>
    <xf numFmtId="169" fontId="6" fillId="4" borderId="8" xfId="0" applyNumberFormat="1" applyFont="1" applyFill="1" applyBorder="1" applyAlignment="1">
      <alignment vertical="center"/>
    </xf>
    <xf numFmtId="169" fontId="1" fillId="11" borderId="10" xfId="0" applyNumberFormat="1" applyFont="1" applyFill="1" applyBorder="1" applyAlignment="1">
      <alignment horizontal="left" vertical="top"/>
    </xf>
    <xf numFmtId="169" fontId="1" fillId="11" borderId="10" xfId="0" applyNumberFormat="1" applyFont="1" applyFill="1" applyBorder="1" applyAlignment="1">
      <alignment horizontal="right" vertical="top"/>
    </xf>
    <xf numFmtId="169" fontId="2" fillId="0" borderId="22" xfId="0" applyNumberFormat="1" applyFont="1" applyBorder="1" applyAlignment="1">
      <alignment horizontal="right"/>
    </xf>
    <xf numFmtId="169" fontId="2" fillId="4" borderId="22" xfId="0" applyNumberFormat="1" applyFont="1" applyFill="1" applyBorder="1" applyAlignment="1">
      <alignment horizontal="right"/>
    </xf>
    <xf numFmtId="169" fontId="2" fillId="0" borderId="43" xfId="0" applyNumberFormat="1" applyFont="1" applyBorder="1" applyAlignment="1">
      <alignment horizontal="right"/>
    </xf>
    <xf numFmtId="169" fontId="1" fillId="0" borderId="10" xfId="0" applyNumberFormat="1" applyFont="1" applyBorder="1" applyAlignment="1">
      <alignment vertical="center"/>
    </xf>
    <xf numFmtId="169" fontId="1" fillId="0" borderId="10" xfId="0" applyNumberFormat="1" applyFont="1" applyBorder="1" applyAlignment="1">
      <alignment horizontal="center" vertical="center"/>
    </xf>
    <xf numFmtId="169" fontId="1" fillId="4" borderId="10" xfId="0" applyNumberFormat="1" applyFont="1" applyFill="1" applyBorder="1" applyAlignment="1">
      <alignment vertical="center"/>
    </xf>
    <xf numFmtId="169" fontId="2" fillId="11" borderId="4" xfId="0" applyNumberFormat="1" applyFont="1" applyFill="1" applyBorder="1" applyAlignment="1">
      <alignment horizontal="left" vertical="top"/>
    </xf>
    <xf numFmtId="169" fontId="2" fillId="0" borderId="4" xfId="0" applyNumberFormat="1" applyFont="1" applyBorder="1" applyAlignment="1">
      <alignment vertical="center"/>
    </xf>
    <xf numFmtId="169" fontId="2" fillId="0" borderId="4" xfId="0" applyNumberFormat="1" applyFont="1" applyBorder="1" applyAlignment="1">
      <alignment horizontal="center" vertical="center"/>
    </xf>
    <xf numFmtId="169" fontId="2" fillId="4" borderId="4" xfId="0" applyNumberFormat="1" applyFont="1" applyFill="1" applyBorder="1" applyAlignment="1">
      <alignment vertical="center"/>
    </xf>
    <xf numFmtId="169" fontId="1" fillId="2" borderId="20" xfId="0" applyNumberFormat="1" applyFont="1" applyFill="1" applyBorder="1"/>
    <xf numFmtId="169" fontId="1" fillId="11" borderId="0" xfId="0" applyNumberFormat="1" applyFont="1" applyFill="1" applyAlignment="1">
      <alignment horizontal="left" vertical="top"/>
    </xf>
    <xf numFmtId="169" fontId="3" fillId="0" borderId="0" xfId="0" applyNumberFormat="1" applyFont="1" applyAlignment="1">
      <alignment horizontal="left" wrapText="1"/>
    </xf>
    <xf numFmtId="169" fontId="26" fillId="11" borderId="0" xfId="0" applyNumberFormat="1" applyFont="1" applyFill="1"/>
    <xf numFmtId="169" fontId="1" fillId="0" borderId="0" xfId="0" applyNumberFormat="1" applyFont="1" applyAlignment="1">
      <alignment vertical="center"/>
    </xf>
    <xf numFmtId="169" fontId="1" fillId="0" borderId="0" xfId="0" applyNumberFormat="1" applyFont="1" applyAlignment="1">
      <alignment horizontal="center" vertical="center"/>
    </xf>
    <xf numFmtId="169" fontId="1" fillId="4" borderId="0" xfId="0" applyNumberFormat="1" applyFont="1" applyFill="1" applyAlignment="1">
      <alignment vertical="center"/>
    </xf>
    <xf numFmtId="169" fontId="2" fillId="3" borderId="38" xfId="0" applyNumberFormat="1" applyFont="1" applyFill="1" applyBorder="1" applyAlignment="1">
      <alignment vertical="top"/>
    </xf>
    <xf numFmtId="169" fontId="2" fillId="11" borderId="1" xfId="0" applyNumberFormat="1" applyFont="1" applyFill="1" applyBorder="1" applyAlignment="1">
      <alignment horizontal="left" vertical="top"/>
    </xf>
    <xf numFmtId="169" fontId="2" fillId="0" borderId="1" xfId="0" applyNumberFormat="1" applyFont="1" applyBorder="1" applyAlignment="1">
      <alignment vertical="center"/>
    </xf>
    <xf numFmtId="169" fontId="2" fillId="0" borderId="1" xfId="0" applyNumberFormat="1" applyFont="1" applyBorder="1" applyAlignment="1">
      <alignment horizontal="center" vertical="center"/>
    </xf>
    <xf numFmtId="169" fontId="2" fillId="4" borderId="1" xfId="0" applyNumberFormat="1" applyFont="1" applyFill="1" applyBorder="1" applyAlignment="1">
      <alignment vertical="center"/>
    </xf>
    <xf numFmtId="169" fontId="2" fillId="0" borderId="0" xfId="0" applyNumberFormat="1" applyFont="1" applyAlignment="1">
      <alignment vertical="center"/>
    </xf>
    <xf numFmtId="169" fontId="2" fillId="11" borderId="0" xfId="0" applyNumberFormat="1" applyFont="1" applyFill="1" applyAlignment="1">
      <alignment horizontal="right" vertical="top"/>
    </xf>
    <xf numFmtId="169" fontId="2" fillId="11" borderId="0" xfId="0" applyNumberFormat="1" applyFont="1" applyFill="1" applyAlignment="1">
      <alignment horizontal="left" vertical="top"/>
    </xf>
    <xf numFmtId="169" fontId="1" fillId="3" borderId="38" xfId="0" applyNumberFormat="1" applyFont="1" applyFill="1" applyBorder="1" applyAlignment="1">
      <alignment vertical="top"/>
    </xf>
    <xf numFmtId="169" fontId="19" fillId="0" borderId="0" xfId="0" applyNumberFormat="1" applyFont="1" applyAlignment="1">
      <alignment horizontal="left" vertical="top"/>
    </xf>
    <xf numFmtId="169" fontId="3" fillId="0" borderId="29" xfId="0" applyNumberFormat="1" applyFont="1" applyBorder="1"/>
    <xf numFmtId="169" fontId="2" fillId="3" borderId="0" xfId="0" applyNumberFormat="1" applyFont="1" applyFill="1" applyAlignment="1">
      <alignment vertical="top"/>
    </xf>
    <xf numFmtId="169" fontId="3" fillId="0" borderId="19" xfId="0" applyNumberFormat="1" applyFont="1" applyBorder="1"/>
    <xf numFmtId="169" fontId="2" fillId="0" borderId="0" xfId="0" applyNumberFormat="1" applyFont="1" applyAlignment="1">
      <alignment horizontal="center" vertical="center"/>
    </xf>
    <xf numFmtId="169" fontId="2" fillId="4" borderId="0" xfId="0" applyNumberFormat="1" applyFont="1" applyFill="1" applyAlignment="1">
      <alignment vertical="center"/>
    </xf>
    <xf numFmtId="169" fontId="2" fillId="0" borderId="8" xfId="0" applyNumberFormat="1" applyFont="1" applyBorder="1" applyAlignment="1">
      <alignment horizontal="left" vertical="center"/>
    </xf>
    <xf numFmtId="169" fontId="6" fillId="0" borderId="0" xfId="0" applyNumberFormat="1" applyFont="1"/>
    <xf numFmtId="169" fontId="2" fillId="0" borderId="0" xfId="0" applyNumberFormat="1" applyFont="1" applyAlignment="1">
      <alignment horizontal="left" vertical="center"/>
    </xf>
    <xf numFmtId="169" fontId="2" fillId="0" borderId="0" xfId="0" applyNumberFormat="1" applyFont="1" applyAlignment="1">
      <alignment horizontal="left" vertical="center" wrapText="1"/>
    </xf>
    <xf numFmtId="169" fontId="3" fillId="5" borderId="0" xfId="0" applyNumberFormat="1" applyFont="1" applyFill="1" applyAlignment="1">
      <alignment horizontal="right" vertical="top"/>
    </xf>
    <xf numFmtId="169" fontId="3" fillId="5" borderId="0" xfId="0" applyNumberFormat="1" applyFont="1" applyFill="1" applyAlignment="1">
      <alignment vertical="top"/>
    </xf>
    <xf numFmtId="169" fontId="2" fillId="3" borderId="8" xfId="0" applyNumberFormat="1" applyFont="1" applyFill="1" applyBorder="1" applyAlignment="1">
      <alignment vertical="top"/>
    </xf>
    <xf numFmtId="169" fontId="2" fillId="0" borderId="0" xfId="0" applyNumberFormat="1" applyFont="1" applyAlignment="1">
      <alignment horizontal="right" vertical="top"/>
    </xf>
    <xf numFmtId="169" fontId="11" fillId="11" borderId="0" xfId="0" applyNumberFormat="1" applyFont="1" applyFill="1" applyAlignment="1">
      <alignment horizontal="left" vertical="top"/>
    </xf>
    <xf numFmtId="169" fontId="11" fillId="11" borderId="0" xfId="0" applyNumberFormat="1" applyFont="1" applyFill="1" applyAlignment="1">
      <alignment horizontal="right" vertical="top"/>
    </xf>
    <xf numFmtId="169" fontId="11" fillId="0" borderId="0" xfId="0" applyNumberFormat="1" applyFont="1" applyAlignment="1">
      <alignment vertical="center"/>
    </xf>
    <xf numFmtId="169" fontId="2" fillId="11" borderId="9" xfId="0" applyNumberFormat="1" applyFont="1" applyFill="1" applyBorder="1" applyAlignment="1">
      <alignment horizontal="left" vertical="top"/>
    </xf>
    <xf numFmtId="169" fontId="2" fillId="11" borderId="9" xfId="0" applyNumberFormat="1" applyFont="1" applyFill="1" applyBorder="1" applyAlignment="1">
      <alignment horizontal="right" vertical="top"/>
    </xf>
    <xf numFmtId="169" fontId="2" fillId="0" borderId="8" xfId="0" applyNumberFormat="1" applyFont="1" applyBorder="1" applyAlignment="1">
      <alignment horizontal="left" vertical="center" wrapText="1"/>
    </xf>
    <xf numFmtId="169" fontId="2" fillId="3" borderId="9" xfId="0" applyNumberFormat="1" applyFont="1" applyFill="1" applyBorder="1" applyAlignment="1">
      <alignment vertical="top"/>
    </xf>
    <xf numFmtId="169" fontId="1" fillId="3" borderId="9" xfId="0" applyNumberFormat="1" applyFont="1" applyFill="1" applyBorder="1" applyAlignment="1">
      <alignment vertical="top"/>
    </xf>
    <xf numFmtId="169" fontId="1" fillId="0" borderId="11" xfId="0" applyNumberFormat="1" applyFont="1" applyBorder="1" applyAlignment="1">
      <alignment horizontal="left" vertical="center"/>
    </xf>
    <xf numFmtId="169" fontId="2" fillId="3" borderId="11" xfId="0" applyNumberFormat="1" applyFont="1" applyFill="1" applyBorder="1" applyAlignment="1">
      <alignment vertical="top"/>
    </xf>
    <xf numFmtId="169" fontId="1" fillId="3" borderId="8" xfId="0" applyNumberFormat="1" applyFont="1" applyFill="1" applyBorder="1" applyAlignment="1">
      <alignment vertical="top"/>
    </xf>
    <xf numFmtId="169" fontId="1" fillId="11" borderId="9" xfId="0" applyNumberFormat="1" applyFont="1" applyFill="1" applyBorder="1" applyAlignment="1">
      <alignment horizontal="left" vertical="top"/>
    </xf>
    <xf numFmtId="169" fontId="1" fillId="11" borderId="9" xfId="0" applyNumberFormat="1" applyFont="1" applyFill="1" applyBorder="1" applyAlignment="1">
      <alignment horizontal="right" vertical="top"/>
    </xf>
    <xf numFmtId="169" fontId="1" fillId="0" borderId="8" xfId="0" applyNumberFormat="1" applyFont="1" applyBorder="1" applyAlignment="1">
      <alignment horizontal="left" vertical="center"/>
    </xf>
    <xf numFmtId="169" fontId="1" fillId="4" borderId="8" xfId="0" applyNumberFormat="1" applyFont="1" applyFill="1" applyBorder="1" applyAlignment="1">
      <alignment vertical="center"/>
    </xf>
    <xf numFmtId="169" fontId="1" fillId="0" borderId="8" xfId="0" applyNumberFormat="1" applyFont="1" applyBorder="1" applyAlignment="1">
      <alignment vertical="center"/>
    </xf>
    <xf numFmtId="169" fontId="1" fillId="3" borderId="26" xfId="0" applyNumberFormat="1" applyFont="1" applyFill="1" applyBorder="1" applyAlignment="1">
      <alignment vertical="top"/>
    </xf>
    <xf numFmtId="169" fontId="26" fillId="11" borderId="0" xfId="0" applyNumberFormat="1" applyFont="1" applyFill="1" applyAlignment="1">
      <alignment horizontal="left"/>
    </xf>
    <xf numFmtId="169" fontId="1" fillId="0" borderId="0" xfId="0" applyNumberFormat="1" applyFont="1" applyAlignment="1">
      <alignment horizontal="left" vertical="center"/>
    </xf>
    <xf numFmtId="169" fontId="1" fillId="8" borderId="0" xfId="0" applyNumberFormat="1" applyFont="1" applyFill="1" applyAlignment="1">
      <alignment vertical="top"/>
    </xf>
    <xf numFmtId="169" fontId="2" fillId="0" borderId="0" xfId="0" applyNumberFormat="1" applyFont="1" applyAlignment="1">
      <alignment horizontal="right"/>
    </xf>
    <xf numFmtId="169" fontId="2" fillId="0" borderId="0" xfId="0" applyNumberFormat="1" applyFont="1" applyAlignment="1">
      <alignment vertical="center" wrapText="1"/>
    </xf>
    <xf numFmtId="169" fontId="6" fillId="11" borderId="0" xfId="0" applyNumberFormat="1" applyFont="1" applyFill="1" applyAlignment="1">
      <alignment horizontal="right" vertical="top"/>
    </xf>
    <xf numFmtId="169" fontId="6" fillId="0" borderId="0" xfId="0" applyNumberFormat="1" applyFont="1" applyAlignment="1">
      <alignment vertical="top"/>
    </xf>
    <xf numFmtId="169" fontId="6" fillId="0" borderId="0" xfId="0" applyNumberFormat="1" applyFont="1" applyAlignment="1">
      <alignment horizontal="right" vertical="top"/>
    </xf>
    <xf numFmtId="169" fontId="30" fillId="0" borderId="0" xfId="0" applyNumberFormat="1" applyFont="1" applyAlignment="1">
      <alignment horizontal="right"/>
    </xf>
    <xf numFmtId="169" fontId="51" fillId="0" borderId="0" xfId="0" applyNumberFormat="1" applyFont="1"/>
    <xf numFmtId="169" fontId="3" fillId="8" borderId="0" xfId="0" applyNumberFormat="1" applyFont="1" applyFill="1" applyAlignment="1">
      <alignment horizontal="center" vertical="top"/>
    </xf>
    <xf numFmtId="169" fontId="51" fillId="0" borderId="0" xfId="0" applyNumberFormat="1" applyFont="1" applyAlignment="1">
      <alignment horizontal="right"/>
    </xf>
    <xf numFmtId="169" fontId="52" fillId="10" borderId="0" xfId="0" applyNumberFormat="1" applyFont="1" applyFill="1"/>
    <xf numFmtId="169" fontId="52" fillId="10" borderId="0" xfId="0" applyNumberFormat="1" applyFont="1" applyFill="1" applyAlignment="1">
      <alignment horizontal="center"/>
    </xf>
    <xf numFmtId="169" fontId="53" fillId="0" borderId="0" xfId="0" applyNumberFormat="1" applyFont="1"/>
    <xf numFmtId="169" fontId="51" fillId="0" borderId="0" xfId="0" applyNumberFormat="1" applyFont="1" applyAlignment="1">
      <alignment horizontal="center"/>
    </xf>
    <xf numFmtId="169" fontId="52" fillId="10" borderId="2" xfId="0" applyNumberFormat="1" applyFont="1" applyFill="1" applyBorder="1"/>
    <xf numFmtId="169" fontId="52" fillId="10" borderId="2" xfId="0" applyNumberFormat="1" applyFont="1" applyFill="1" applyBorder="1" applyAlignment="1">
      <alignment horizontal="center"/>
    </xf>
    <xf numFmtId="169" fontId="3" fillId="0" borderId="0" xfId="0" applyNumberFormat="1" applyFont="1" applyAlignment="1">
      <alignment vertical="center"/>
    </xf>
    <xf numFmtId="169" fontId="51" fillId="8" borderId="0" xfId="2" applyNumberFormat="1" applyFont="1" applyFill="1"/>
    <xf numFmtId="169" fontId="51" fillId="8" borderId="0" xfId="2" applyNumberFormat="1" applyFont="1" applyFill="1" applyAlignment="1">
      <alignment horizontal="right"/>
    </xf>
    <xf numFmtId="169" fontId="51" fillId="8" borderId="0" xfId="0" applyNumberFormat="1" applyFont="1" applyFill="1" applyAlignment="1">
      <alignment horizontal="left"/>
    </xf>
    <xf numFmtId="169" fontId="51" fillId="0" borderId="0" xfId="0" applyNumberFormat="1" applyFont="1" applyAlignment="1">
      <alignment vertical="center"/>
    </xf>
    <xf numFmtId="169" fontId="51" fillId="0" borderId="0" xfId="0" applyNumberFormat="1" applyFont="1" applyAlignment="1">
      <alignment horizontal="right" vertical="center"/>
    </xf>
    <xf numFmtId="169" fontId="51" fillId="8" borderId="0" xfId="0" applyNumberFormat="1" applyFont="1" applyFill="1" applyAlignment="1">
      <alignment horizontal="left" vertical="center"/>
    </xf>
    <xf numFmtId="169" fontId="2" fillId="3" borderId="44" xfId="0" applyNumberFormat="1" applyFont="1" applyFill="1" applyBorder="1" applyAlignment="1">
      <alignment horizontal="left" vertical="center"/>
    </xf>
    <xf numFmtId="169" fontId="2" fillId="0" borderId="4" xfId="0" applyNumberFormat="1" applyFont="1" applyBorder="1" applyAlignment="1">
      <alignment horizontal="right" vertical="center"/>
    </xf>
    <xf numFmtId="169" fontId="51" fillId="5" borderId="0" xfId="0" applyNumberFormat="1" applyFont="1" applyFill="1"/>
    <xf numFmtId="169" fontId="51" fillId="5" borderId="0" xfId="0" applyNumberFormat="1" applyFont="1" applyFill="1" applyAlignment="1">
      <alignment horizontal="right"/>
    </xf>
    <xf numFmtId="169" fontId="53" fillId="11" borderId="0" xfId="0" applyNumberFormat="1" applyFont="1" applyFill="1" applyAlignment="1">
      <alignment horizontal="left"/>
    </xf>
    <xf numFmtId="169" fontId="53" fillId="11" borderId="0" xfId="0" applyNumberFormat="1" applyFont="1" applyFill="1"/>
    <xf numFmtId="169" fontId="63" fillId="11" borderId="0" xfId="0" applyNumberFormat="1" applyFont="1" applyFill="1" applyAlignment="1">
      <alignment horizontal="left"/>
    </xf>
    <xf numFmtId="169" fontId="63" fillId="11" borderId="0" xfId="0" applyNumberFormat="1" applyFont="1" applyFill="1" applyAlignment="1">
      <alignment horizontal="right"/>
    </xf>
    <xf numFmtId="169" fontId="24" fillId="11" borderId="0" xfId="1" applyNumberFormat="1" applyFont="1" applyFill="1" applyAlignment="1">
      <alignment horizontal="right"/>
    </xf>
    <xf numFmtId="169" fontId="53" fillId="0" borderId="0" xfId="0" applyNumberFormat="1" applyFont="1" applyAlignment="1">
      <alignment horizontal="left"/>
    </xf>
    <xf numFmtId="169" fontId="52" fillId="10" borderId="0" xfId="0" applyNumberFormat="1" applyFont="1" applyFill="1" applyAlignment="1">
      <alignment horizontal="right"/>
    </xf>
    <xf numFmtId="169" fontId="51" fillId="0" borderId="2" xfId="0" applyNumberFormat="1" applyFont="1" applyBorder="1" applyAlignment="1">
      <alignment horizontal="right"/>
    </xf>
    <xf numFmtId="169" fontId="2" fillId="0" borderId="2" xfId="0" applyNumberFormat="1" applyFont="1" applyBorder="1" applyAlignment="1">
      <alignment horizontal="right"/>
    </xf>
    <xf numFmtId="169" fontId="58" fillId="8" borderId="0" xfId="0" applyNumberFormat="1" applyFont="1" applyFill="1"/>
    <xf numFmtId="169" fontId="51" fillId="8" borderId="0" xfId="0" applyNumberFormat="1" applyFont="1" applyFill="1"/>
    <xf numFmtId="169" fontId="57" fillId="8" borderId="7" xfId="0" applyNumberFormat="1" applyFont="1" applyFill="1" applyBorder="1"/>
    <xf numFmtId="169" fontId="53" fillId="8" borderId="7" xfId="0" applyNumberFormat="1" applyFont="1" applyFill="1" applyBorder="1"/>
    <xf numFmtId="169" fontId="81" fillId="0" borderId="0" xfId="0" applyNumberFormat="1" applyFont="1"/>
    <xf numFmtId="169" fontId="51" fillId="8" borderId="0" xfId="0" applyNumberFormat="1" applyFont="1" applyFill="1" applyAlignment="1">
      <alignment horizontal="right"/>
    </xf>
    <xf numFmtId="169" fontId="53" fillId="3" borderId="0" xfId="0" applyNumberFormat="1" applyFont="1" applyFill="1" applyAlignment="1">
      <alignment horizontal="right"/>
    </xf>
    <xf numFmtId="169" fontId="38" fillId="0" borderId="0" xfId="0" applyNumberFormat="1" applyFont="1" applyAlignment="1">
      <alignment horizontal="center"/>
    </xf>
    <xf numFmtId="169" fontId="38" fillId="0" borderId="0" xfId="0" applyNumberFormat="1" applyFont="1"/>
    <xf numFmtId="169" fontId="38" fillId="0" borderId="0" xfId="0" applyNumberFormat="1" applyFont="1" applyAlignment="1">
      <alignment horizontal="right"/>
    </xf>
    <xf numFmtId="169" fontId="52" fillId="0" borderId="0" xfId="0" applyNumberFormat="1" applyFont="1" applyAlignment="1">
      <alignment horizontal="right"/>
    </xf>
    <xf numFmtId="169" fontId="58" fillId="0" borderId="0" xfId="1" applyNumberFormat="1" applyFont="1" applyFill="1" applyAlignment="1">
      <alignment horizontal="right"/>
    </xf>
    <xf numFmtId="169" fontId="63" fillId="0" borderId="0" xfId="0" applyNumberFormat="1" applyFont="1"/>
    <xf numFmtId="169" fontId="57" fillId="0" borderId="0" xfId="1" applyNumberFormat="1" applyFont="1" applyFill="1" applyBorder="1" applyAlignment="1">
      <alignment horizontal="right"/>
    </xf>
    <xf numFmtId="169" fontId="3" fillId="8" borderId="0" xfId="0" applyNumberFormat="1" applyFont="1" applyFill="1" applyAlignment="1">
      <alignment horizontal="right"/>
    </xf>
    <xf numFmtId="169" fontId="3" fillId="17" borderId="0" xfId="0" applyNumberFormat="1" applyFont="1" applyFill="1"/>
    <xf numFmtId="169" fontId="6" fillId="0" borderId="0" xfId="0" applyNumberFormat="1" applyFont="1" applyAlignment="1">
      <alignment horizontal="right"/>
    </xf>
    <xf numFmtId="169" fontId="6" fillId="0" borderId="0" xfId="0" applyNumberFormat="1" applyFont="1" applyAlignment="1">
      <alignment horizontal="center"/>
    </xf>
    <xf numFmtId="169" fontId="24" fillId="0" borderId="0" xfId="0" applyNumberFormat="1" applyFont="1"/>
    <xf numFmtId="169" fontId="32" fillId="11" borderId="0" xfId="0" applyNumberFormat="1" applyFont="1" applyFill="1"/>
    <xf numFmtId="169" fontId="51" fillId="3" borderId="0" xfId="0" applyNumberFormat="1" applyFont="1" applyFill="1" applyAlignment="1">
      <alignment horizontal="right"/>
    </xf>
    <xf numFmtId="169" fontId="24" fillId="0" borderId="0" xfId="0" applyNumberFormat="1" applyFont="1" applyAlignment="1">
      <alignment horizontal="right"/>
    </xf>
    <xf numFmtId="169" fontId="24" fillId="0" borderId="0" xfId="0" applyNumberFormat="1" applyFont="1" applyAlignment="1">
      <alignment horizontal="center"/>
    </xf>
    <xf numFmtId="169" fontId="49" fillId="0" borderId="0" xfId="0" applyNumberFormat="1" applyFont="1"/>
    <xf numFmtId="169" fontId="89" fillId="0" borderId="0" xfId="0" applyNumberFormat="1" applyFont="1"/>
    <xf numFmtId="169" fontId="9" fillId="0" borderId="0" xfId="0" applyNumberFormat="1" applyFont="1"/>
    <xf numFmtId="169" fontId="15" fillId="0" borderId="0" xfId="0" applyNumberFormat="1" applyFont="1"/>
    <xf numFmtId="169" fontId="1" fillId="2" borderId="14" xfId="0" applyNumberFormat="1" applyFont="1" applyFill="1" applyBorder="1" applyAlignment="1">
      <alignment horizontal="right"/>
    </xf>
    <xf numFmtId="169" fontId="1" fillId="2" borderId="16" xfId="0" applyNumberFormat="1" applyFont="1" applyFill="1" applyBorder="1" applyAlignment="1">
      <alignment horizontal="right"/>
    </xf>
    <xf numFmtId="169" fontId="2" fillId="0" borderId="48" xfId="0" applyNumberFormat="1" applyFont="1" applyBorder="1" applyAlignment="1">
      <alignment horizontal="left"/>
    </xf>
    <xf numFmtId="169" fontId="2" fillId="3" borderId="20" xfId="0" applyNumberFormat="1" applyFont="1" applyFill="1" applyBorder="1" applyAlignment="1">
      <alignment horizontal="left"/>
    </xf>
    <xf numFmtId="169" fontId="2" fillId="4" borderId="0" xfId="0" applyNumberFormat="1" applyFont="1" applyFill="1" applyAlignment="1">
      <alignment horizontal="right"/>
    </xf>
    <xf numFmtId="169" fontId="2" fillId="0" borderId="21" xfId="0" applyNumberFormat="1" applyFont="1" applyBorder="1" applyAlignment="1">
      <alignment horizontal="right"/>
    </xf>
    <xf numFmtId="169" fontId="1" fillId="2" borderId="21" xfId="0" applyNumberFormat="1" applyFont="1" applyFill="1" applyBorder="1" applyAlignment="1">
      <alignment horizontal="right"/>
    </xf>
    <xf numFmtId="169" fontId="2" fillId="3" borderId="45" xfId="0" applyNumberFormat="1" applyFont="1" applyFill="1" applyBorder="1" applyAlignment="1">
      <alignment horizontal="left"/>
    </xf>
    <xf numFmtId="169" fontId="2" fillId="4" borderId="46" xfId="0" applyNumberFormat="1" applyFont="1" applyFill="1" applyBorder="1" applyAlignment="1">
      <alignment horizontal="right"/>
    </xf>
    <xf numFmtId="169" fontId="2" fillId="0" borderId="46" xfId="0" applyNumberFormat="1" applyFont="1" applyBorder="1" applyAlignment="1">
      <alignment horizontal="right"/>
    </xf>
    <xf numFmtId="169" fontId="2" fillId="0" borderId="47" xfId="0" applyNumberFormat="1" applyFont="1" applyBorder="1" applyAlignment="1">
      <alignment horizontal="right"/>
    </xf>
    <xf numFmtId="169" fontId="2" fillId="3" borderId="15" xfId="0" applyNumberFormat="1" applyFont="1" applyFill="1" applyBorder="1" applyAlignment="1">
      <alignment horizontal="left"/>
    </xf>
    <xf numFmtId="169" fontId="2" fillId="4" borderId="2" xfId="0" applyNumberFormat="1" applyFont="1" applyFill="1" applyBorder="1" applyAlignment="1">
      <alignment horizontal="right"/>
    </xf>
    <xf numFmtId="169" fontId="2" fillId="0" borderId="16" xfId="0" applyNumberFormat="1" applyFont="1" applyBorder="1" applyAlignment="1">
      <alignment horizontal="right"/>
    </xf>
    <xf numFmtId="169" fontId="16" fillId="0" borderId="0" xfId="0" applyNumberFormat="1" applyFont="1"/>
    <xf numFmtId="169" fontId="21" fillId="0" borderId="0" xfId="0" applyNumberFormat="1" applyFont="1"/>
    <xf numFmtId="169" fontId="1" fillId="3" borderId="0" xfId="0" applyNumberFormat="1" applyFont="1" applyFill="1" applyAlignment="1">
      <alignment horizontal="center"/>
    </xf>
    <xf numFmtId="169" fontId="15" fillId="0" borderId="0" xfId="0" applyNumberFormat="1" applyFont="1" applyAlignment="1">
      <alignment horizontal="right"/>
    </xf>
    <xf numFmtId="169" fontId="11" fillId="3" borderId="0" xfId="0" applyNumberFormat="1" applyFont="1" applyFill="1"/>
    <xf numFmtId="169" fontId="2" fillId="4" borderId="0" xfId="0" applyNumberFormat="1" applyFont="1" applyFill="1"/>
    <xf numFmtId="169" fontId="2" fillId="0" borderId="4" xfId="0" applyNumberFormat="1" applyFont="1" applyBorder="1" applyAlignment="1">
      <alignment horizontal="left" indent="1"/>
    </xf>
    <xf numFmtId="169" fontId="2" fillId="0" borderId="4" xfId="0" applyNumberFormat="1" applyFont="1" applyBorder="1" applyAlignment="1">
      <alignment horizontal="center"/>
    </xf>
    <xf numFmtId="169" fontId="2" fillId="4" borderId="5" xfId="0" applyNumberFormat="1" applyFont="1" applyFill="1" applyBorder="1" applyAlignment="1">
      <alignment horizontal="right"/>
    </xf>
    <xf numFmtId="169" fontId="1" fillId="0" borderId="0" xfId="0" applyNumberFormat="1" applyFont="1" applyAlignment="1">
      <alignment horizontal="left" indent="1"/>
    </xf>
    <xf numFmtId="169" fontId="1" fillId="4" borderId="0" xfId="0" applyNumberFormat="1" applyFont="1" applyFill="1" applyAlignment="1">
      <alignment horizontal="right"/>
    </xf>
    <xf numFmtId="169" fontId="1" fillId="0" borderId="0" xfId="0" applyNumberFormat="1" applyFont="1" applyAlignment="1">
      <alignment horizontal="right"/>
    </xf>
    <xf numFmtId="169" fontId="2" fillId="0" borderId="0" xfId="0" applyNumberFormat="1" applyFont="1" applyAlignment="1">
      <alignment horizontal="center"/>
    </xf>
    <xf numFmtId="169" fontId="1" fillId="0" borderId="1" xfId="0" applyNumberFormat="1" applyFont="1" applyBorder="1" applyAlignment="1">
      <alignment horizontal="left" indent="1"/>
    </xf>
    <xf numFmtId="169" fontId="1" fillId="0" borderId="1" xfId="0" applyNumberFormat="1" applyFont="1" applyBorder="1" applyAlignment="1">
      <alignment horizontal="center"/>
    </xf>
    <xf numFmtId="169" fontId="1" fillId="4" borderId="1" xfId="0" applyNumberFormat="1" applyFont="1" applyFill="1" applyBorder="1" applyAlignment="1">
      <alignment horizontal="right"/>
    </xf>
    <xf numFmtId="169" fontId="1" fillId="0" borderId="1" xfId="0" applyNumberFormat="1" applyFont="1" applyBorder="1" applyAlignment="1">
      <alignment horizontal="right"/>
    </xf>
    <xf numFmtId="169" fontId="2" fillId="0" borderId="4" xfId="0" applyNumberFormat="1" applyFont="1" applyBorder="1" applyAlignment="1">
      <alignment horizontal="left" wrapText="1" indent="1"/>
    </xf>
    <xf numFmtId="169" fontId="2" fillId="0" borderId="4" xfId="0" applyNumberFormat="1" applyFont="1" applyBorder="1" applyAlignment="1">
      <alignment horizontal="center" wrapText="1"/>
    </xf>
    <xf numFmtId="169" fontId="1" fillId="0" borderId="0" xfId="0" quotePrefix="1" applyNumberFormat="1" applyFont="1" applyAlignment="1">
      <alignment horizontal="right"/>
    </xf>
    <xf numFmtId="169" fontId="2" fillId="3" borderId="4" xfId="0" applyNumberFormat="1" applyFont="1" applyFill="1" applyBorder="1" applyAlignment="1">
      <alignment horizontal="left" indent="1"/>
    </xf>
    <xf numFmtId="169" fontId="6" fillId="0" borderId="4" xfId="0" applyNumberFormat="1" applyFont="1" applyBorder="1" applyAlignment="1">
      <alignment horizontal="center"/>
    </xf>
    <xf numFmtId="169" fontId="17" fillId="0" borderId="4" xfId="0" applyNumberFormat="1" applyFont="1" applyBorder="1" applyAlignment="1">
      <alignment horizontal="left" indent="2"/>
    </xf>
    <xf numFmtId="169" fontId="5" fillId="0" borderId="4" xfId="0" applyNumberFormat="1" applyFont="1" applyBorder="1" applyAlignment="1">
      <alignment horizontal="center"/>
    </xf>
    <xf numFmtId="169" fontId="17" fillId="4" borderId="5" xfId="0" applyNumberFormat="1" applyFont="1" applyFill="1" applyBorder="1" applyAlignment="1">
      <alignment horizontal="right"/>
    </xf>
    <xf numFmtId="169" fontId="17" fillId="0" borderId="4" xfId="0" applyNumberFormat="1" applyFont="1" applyBorder="1" applyAlignment="1">
      <alignment horizontal="right"/>
    </xf>
    <xf numFmtId="169" fontId="17" fillId="0" borderId="0" xfId="0" applyNumberFormat="1" applyFont="1"/>
    <xf numFmtId="169" fontId="17" fillId="0" borderId="0" xfId="0" applyNumberFormat="1" applyFont="1" applyAlignment="1">
      <alignment horizontal="right"/>
    </xf>
    <xf numFmtId="169" fontId="5" fillId="0" borderId="0" xfId="0" applyNumberFormat="1" applyFont="1"/>
    <xf numFmtId="169" fontId="17" fillId="3" borderId="4" xfId="0" applyNumberFormat="1" applyFont="1" applyFill="1" applyBorder="1" applyAlignment="1">
      <alignment horizontal="left" indent="2"/>
    </xf>
    <xf numFmtId="169" fontId="20" fillId="0" borderId="0" xfId="0" applyNumberFormat="1" applyFont="1" applyAlignment="1">
      <alignment horizontal="center"/>
    </xf>
    <xf numFmtId="169" fontId="1" fillId="3" borderId="0" xfId="0" applyNumberFormat="1" applyFont="1" applyFill="1" applyAlignment="1">
      <alignment horizontal="left" indent="1"/>
    </xf>
    <xf numFmtId="169" fontId="1" fillId="3" borderId="1" xfId="0" applyNumberFormat="1" applyFont="1" applyFill="1" applyBorder="1" applyAlignment="1">
      <alignment horizontal="left" indent="1"/>
    </xf>
    <xf numFmtId="169" fontId="2" fillId="3" borderId="4" xfId="0" applyNumberFormat="1" applyFont="1" applyFill="1" applyBorder="1" applyAlignment="1">
      <alignment horizontal="left" wrapText="1" indent="1"/>
    </xf>
    <xf numFmtId="169" fontId="17" fillId="0" borderId="8" xfId="0" applyNumberFormat="1" applyFont="1" applyBorder="1" applyAlignment="1">
      <alignment horizontal="left" indent="2"/>
    </xf>
    <xf numFmtId="169" fontId="5" fillId="0" borderId="8" xfId="0" applyNumberFormat="1" applyFont="1" applyBorder="1" applyAlignment="1">
      <alignment horizontal="center"/>
    </xf>
    <xf numFmtId="169" fontId="17" fillId="4" borderId="8" xfId="0" applyNumberFormat="1" applyFont="1" applyFill="1" applyBorder="1" applyAlignment="1">
      <alignment horizontal="right"/>
    </xf>
    <xf numFmtId="169" fontId="17" fillId="0" borderId="8" xfId="0" applyNumberFormat="1" applyFont="1" applyBorder="1" applyAlignment="1">
      <alignment horizontal="right"/>
    </xf>
    <xf numFmtId="169" fontId="17" fillId="0" borderId="8" xfId="0" applyNumberFormat="1" applyFont="1" applyBorder="1"/>
    <xf numFmtId="169" fontId="17" fillId="3" borderId="8" xfId="0" applyNumberFormat="1" applyFont="1" applyFill="1" applyBorder="1" applyAlignment="1">
      <alignment horizontal="left" indent="2"/>
    </xf>
    <xf numFmtId="169" fontId="17" fillId="0" borderId="0" xfId="0" applyNumberFormat="1" applyFont="1" applyAlignment="1">
      <alignment horizontal="left" indent="2"/>
    </xf>
    <xf numFmtId="169" fontId="5" fillId="0" borderId="0" xfId="0" applyNumberFormat="1" applyFont="1" applyAlignment="1">
      <alignment horizontal="center"/>
    </xf>
    <xf numFmtId="169" fontId="17" fillId="4" borderId="0" xfId="0" applyNumberFormat="1" applyFont="1" applyFill="1" applyAlignment="1">
      <alignment horizontal="right"/>
    </xf>
    <xf numFmtId="169" fontId="17" fillId="3" borderId="0" xfId="0" applyNumberFormat="1" applyFont="1" applyFill="1" applyAlignment="1">
      <alignment horizontal="left" indent="2"/>
    </xf>
    <xf numFmtId="169" fontId="20" fillId="0" borderId="1" xfId="0" applyNumberFormat="1" applyFont="1" applyBorder="1" applyAlignment="1">
      <alignment horizontal="center"/>
    </xf>
    <xf numFmtId="169" fontId="1" fillId="2" borderId="0" xfId="0" applyNumberFormat="1" applyFont="1" applyFill="1" applyAlignment="1">
      <alignment horizontal="left"/>
    </xf>
    <xf numFmtId="169" fontId="1" fillId="2" borderId="0" xfId="0" applyNumberFormat="1" applyFont="1" applyFill="1" applyAlignment="1">
      <alignment horizontal="left" wrapText="1"/>
    </xf>
    <xf numFmtId="169" fontId="1" fillId="2" borderId="2" xfId="0" quotePrefix="1" applyNumberFormat="1" applyFont="1" applyFill="1" applyBorder="1" applyAlignment="1">
      <alignment horizontal="right"/>
    </xf>
    <xf numFmtId="169" fontId="1" fillId="2" borderId="2" xfId="0" quotePrefix="1" applyNumberFormat="1" applyFont="1" applyFill="1" applyBorder="1" applyAlignment="1">
      <alignment horizontal="left"/>
    </xf>
    <xf numFmtId="169" fontId="1" fillId="0" borderId="7" xfId="0" applyNumberFormat="1" applyFont="1" applyBorder="1"/>
    <xf numFmtId="169" fontId="2" fillId="0" borderId="8" xfId="0" applyNumberFormat="1" applyFont="1" applyBorder="1" applyAlignment="1">
      <alignment horizontal="left" indent="1"/>
    </xf>
    <xf numFmtId="169" fontId="2" fillId="0" borderId="8" xfId="0" applyNumberFormat="1" applyFont="1" applyBorder="1" applyAlignment="1">
      <alignment horizontal="center"/>
    </xf>
    <xf numFmtId="169" fontId="2" fillId="4" borderId="8" xfId="0" applyNumberFormat="1" applyFont="1" applyFill="1" applyBorder="1" applyAlignment="1">
      <alignment horizontal="right"/>
    </xf>
    <xf numFmtId="169" fontId="2" fillId="0" borderId="8" xfId="0" applyNumberFormat="1" applyFont="1" applyBorder="1" applyAlignment="1">
      <alignment horizontal="right"/>
    </xf>
    <xf numFmtId="169" fontId="2" fillId="0" borderId="8" xfId="0" applyNumberFormat="1" applyFont="1" applyBorder="1"/>
    <xf numFmtId="169" fontId="2" fillId="3" borderId="8" xfId="0" applyNumberFormat="1" applyFont="1" applyFill="1" applyBorder="1" applyAlignment="1">
      <alignment horizontal="left" indent="1"/>
    </xf>
    <xf numFmtId="169" fontId="6" fillId="0" borderId="0" xfId="0" applyNumberFormat="1" applyFont="1" applyAlignment="1">
      <alignment horizontal="left" indent="2"/>
    </xf>
    <xf numFmtId="169" fontId="6" fillId="4" borderId="0" xfId="0" applyNumberFormat="1" applyFont="1" applyFill="1" applyAlignment="1">
      <alignment horizontal="right"/>
    </xf>
    <xf numFmtId="169" fontId="6" fillId="3" borderId="0" xfId="0" applyNumberFormat="1" applyFont="1" applyFill="1" applyAlignment="1">
      <alignment horizontal="left" indent="2"/>
    </xf>
    <xf numFmtId="169" fontId="6" fillId="0" borderId="35" xfId="0" applyNumberFormat="1" applyFont="1" applyBorder="1" applyAlignment="1">
      <alignment horizontal="left" indent="2"/>
    </xf>
    <xf numFmtId="169" fontId="6" fillId="0" borderId="35" xfId="0" applyNumberFormat="1" applyFont="1" applyBorder="1" applyAlignment="1">
      <alignment horizontal="center"/>
    </xf>
    <xf numFmtId="169" fontId="6" fillId="4" borderId="35" xfId="0" applyNumberFormat="1" applyFont="1" applyFill="1" applyBorder="1" applyAlignment="1">
      <alignment horizontal="right"/>
    </xf>
    <xf numFmtId="169" fontId="6" fillId="0" borderId="35" xfId="0" applyNumberFormat="1" applyFont="1" applyBorder="1" applyAlignment="1">
      <alignment horizontal="right"/>
    </xf>
    <xf numFmtId="169" fontId="6" fillId="0" borderId="35" xfId="0" applyNumberFormat="1" applyFont="1" applyBorder="1"/>
    <xf numFmtId="169" fontId="6" fillId="3" borderId="35" xfId="0" applyNumberFormat="1" applyFont="1" applyFill="1" applyBorder="1" applyAlignment="1">
      <alignment horizontal="left" indent="2"/>
    </xf>
    <xf numFmtId="169" fontId="2" fillId="0" borderId="8" xfId="0" applyNumberFormat="1" applyFont="1" applyBorder="1" applyAlignment="1">
      <alignment horizontal="left" wrapText="1" indent="1"/>
    </xf>
    <xf numFmtId="169" fontId="2" fillId="0" borderId="8" xfId="0" applyNumberFormat="1" applyFont="1" applyBorder="1" applyAlignment="1">
      <alignment horizontal="center" wrapText="1"/>
    </xf>
    <xf numFmtId="169" fontId="2" fillId="3" borderId="8" xfId="0" applyNumberFormat="1" applyFont="1" applyFill="1" applyBorder="1" applyAlignment="1">
      <alignment horizontal="left" wrapText="1" indent="1"/>
    </xf>
    <xf numFmtId="169" fontId="17" fillId="0" borderId="8" xfId="0" applyNumberFormat="1" applyFont="1" applyBorder="1" applyAlignment="1">
      <alignment horizontal="center"/>
    </xf>
    <xf numFmtId="169" fontId="2" fillId="4" borderId="36" xfId="0" applyNumberFormat="1" applyFont="1" applyFill="1" applyBorder="1" applyAlignment="1">
      <alignment horizontal="right"/>
    </xf>
    <xf numFmtId="169" fontId="23" fillId="0" borderId="0" xfId="0" applyNumberFormat="1" applyFont="1"/>
    <xf numFmtId="169" fontId="71" fillId="0" borderId="17" xfId="0" applyNumberFormat="1" applyFont="1" applyBorder="1"/>
    <xf numFmtId="169" fontId="72" fillId="2" borderId="17" xfId="0" applyNumberFormat="1" applyFont="1" applyFill="1" applyBorder="1" applyAlignment="1">
      <alignment horizontal="center"/>
    </xf>
    <xf numFmtId="169" fontId="72" fillId="7" borderId="17" xfId="0" applyNumberFormat="1" applyFont="1" applyFill="1" applyBorder="1" applyAlignment="1">
      <alignment horizontal="center"/>
    </xf>
    <xf numFmtId="169" fontId="72" fillId="0" borderId="18" xfId="0" applyNumberFormat="1" applyFont="1" applyBorder="1"/>
    <xf numFmtId="169" fontId="72" fillId="2" borderId="18" xfId="0" applyNumberFormat="1" applyFont="1" applyFill="1" applyBorder="1" applyAlignment="1">
      <alignment horizontal="center"/>
    </xf>
    <xf numFmtId="169" fontId="71" fillId="0" borderId="12" xfId="0" applyNumberFormat="1" applyFont="1" applyBorder="1"/>
    <xf numFmtId="169" fontId="71" fillId="4" borderId="12" xfId="0" applyNumberFormat="1" applyFont="1" applyFill="1" applyBorder="1" applyAlignment="1">
      <alignment horizontal="center"/>
    </xf>
    <xf numFmtId="169" fontId="71" fillId="0" borderId="12" xfId="0" applyNumberFormat="1" applyFont="1" applyBorder="1" applyAlignment="1">
      <alignment horizontal="center"/>
    </xf>
    <xf numFmtId="169" fontId="71" fillId="0" borderId="20" xfId="0" applyNumberFormat="1" applyFont="1" applyBorder="1"/>
    <xf numFmtId="169" fontId="71" fillId="0" borderId="0" xfId="0" applyNumberFormat="1" applyFont="1" applyAlignment="1">
      <alignment horizontal="center"/>
    </xf>
    <xf numFmtId="169" fontId="71" fillId="0" borderId="21" xfId="0" applyNumberFormat="1" applyFont="1" applyBorder="1" applyAlignment="1">
      <alignment horizontal="center"/>
    </xf>
    <xf numFmtId="169" fontId="73" fillId="0" borderId="15" xfId="0" applyNumberFormat="1" applyFont="1" applyBorder="1" applyAlignment="1">
      <alignment horizontal="left" wrapText="1"/>
    </xf>
    <xf numFmtId="169" fontId="73" fillId="0" borderId="2" xfId="0" applyNumberFormat="1" applyFont="1" applyBorder="1" applyAlignment="1">
      <alignment horizontal="left" wrapText="1"/>
    </xf>
    <xf numFmtId="169" fontId="73" fillId="0" borderId="16" xfId="0" applyNumberFormat="1" applyFont="1" applyBorder="1" applyAlignment="1">
      <alignment horizontal="left" wrapText="1"/>
    </xf>
    <xf numFmtId="169" fontId="72" fillId="0" borderId="19" xfId="0" applyNumberFormat="1" applyFont="1" applyBorder="1" applyAlignment="1">
      <alignment wrapText="1"/>
    </xf>
    <xf numFmtId="169" fontId="72" fillId="4" borderId="19" xfId="0" applyNumberFormat="1" applyFont="1" applyFill="1" applyBorder="1" applyAlignment="1">
      <alignment horizontal="center"/>
    </xf>
    <xf numFmtId="169" fontId="72" fillId="0" borderId="19" xfId="0" applyNumberFormat="1" applyFont="1" applyBorder="1" applyAlignment="1">
      <alignment horizontal="center"/>
    </xf>
    <xf numFmtId="169" fontId="71" fillId="0" borderId="18" xfId="0" applyNumberFormat="1" applyFont="1" applyBorder="1" applyAlignment="1">
      <alignment horizontal="left" indent="1"/>
    </xf>
    <xf numFmtId="169" fontId="71" fillId="4" borderId="18" xfId="0" applyNumberFormat="1" applyFont="1" applyFill="1" applyBorder="1" applyAlignment="1">
      <alignment horizontal="center"/>
    </xf>
    <xf numFmtId="169" fontId="71" fillId="0" borderId="18" xfId="0" applyNumberFormat="1" applyFont="1" applyBorder="1" applyAlignment="1">
      <alignment horizontal="center"/>
    </xf>
    <xf numFmtId="169" fontId="71" fillId="0" borderId="19" xfId="0" applyNumberFormat="1" applyFont="1" applyBorder="1" applyAlignment="1">
      <alignment horizontal="left" indent="1"/>
    </xf>
    <xf numFmtId="169" fontId="71" fillId="4" borderId="19" xfId="0" applyNumberFormat="1" applyFont="1" applyFill="1" applyBorder="1" applyAlignment="1">
      <alignment horizontal="center"/>
    </xf>
    <xf numFmtId="169" fontId="71" fillId="0" borderId="19" xfId="0" applyNumberFormat="1" applyFont="1" applyBorder="1" applyAlignment="1">
      <alignment horizontal="center"/>
    </xf>
    <xf numFmtId="169" fontId="71" fillId="0" borderId="20" xfId="0" applyNumberFormat="1" applyFont="1" applyBorder="1" applyAlignment="1">
      <alignment horizontal="left" wrapText="1"/>
    </xf>
    <xf numFmtId="169" fontId="74" fillId="0" borderId="17" xfId="0" applyNumberFormat="1" applyFont="1" applyBorder="1"/>
    <xf numFmtId="169" fontId="73" fillId="0" borderId="18" xfId="0" applyNumberFormat="1" applyFont="1" applyBorder="1" applyAlignment="1">
      <alignment horizontal="left" wrapText="1"/>
    </xf>
    <xf numFmtId="169" fontId="72" fillId="0" borderId="12" xfId="0" applyNumberFormat="1" applyFont="1" applyBorder="1" applyAlignment="1">
      <alignment wrapText="1"/>
    </xf>
    <xf numFmtId="169" fontId="72" fillId="4" borderId="12" xfId="0" applyNumberFormat="1" applyFont="1" applyFill="1" applyBorder="1" applyAlignment="1">
      <alignment horizontal="center"/>
    </xf>
    <xf numFmtId="169" fontId="72" fillId="0" borderId="12" xfId="0" applyNumberFormat="1" applyFont="1" applyBorder="1" applyAlignment="1">
      <alignment horizontal="center"/>
    </xf>
    <xf numFmtId="169" fontId="71" fillId="0" borderId="12" xfId="0" applyNumberFormat="1" applyFont="1" applyBorder="1" applyAlignment="1">
      <alignment horizontal="left" wrapText="1"/>
    </xf>
    <xf numFmtId="169" fontId="10" fillId="0" borderId="0" xfId="0" applyNumberFormat="1" applyFont="1"/>
    <xf numFmtId="169" fontId="71" fillId="0" borderId="13" xfId="0" applyNumberFormat="1" applyFont="1" applyBorder="1" applyAlignment="1">
      <alignment horizontal="left" wrapText="1"/>
    </xf>
    <xf numFmtId="169" fontId="71" fillId="0" borderId="7" xfId="0" applyNumberFormat="1" applyFont="1" applyBorder="1" applyAlignment="1">
      <alignment horizontal="center"/>
    </xf>
    <xf numFmtId="169" fontId="71" fillId="0" borderId="14" xfId="0" applyNumberFormat="1" applyFont="1" applyBorder="1" applyAlignment="1">
      <alignment horizontal="center"/>
    </xf>
    <xf numFmtId="169" fontId="73" fillId="0" borderId="20" xfId="0" applyNumberFormat="1" applyFont="1" applyBorder="1" applyAlignment="1">
      <alignment horizontal="left" wrapText="1"/>
    </xf>
    <xf numFmtId="169" fontId="73" fillId="0" borderId="0" xfId="0" applyNumberFormat="1" applyFont="1" applyAlignment="1">
      <alignment horizontal="left" wrapText="1"/>
    </xf>
    <xf numFmtId="169" fontId="73" fillId="0" borderId="21" xfId="0" applyNumberFormat="1" applyFont="1" applyBorder="1" applyAlignment="1">
      <alignment horizontal="left" wrapText="1"/>
    </xf>
    <xf numFmtId="169" fontId="71" fillId="0" borderId="17" xfId="0" applyNumberFormat="1" applyFont="1" applyBorder="1" applyAlignment="1">
      <alignment horizontal="left" wrapText="1"/>
    </xf>
    <xf numFmtId="169" fontId="71" fillId="4" borderId="17" xfId="0" applyNumberFormat="1" applyFont="1" applyFill="1" applyBorder="1" applyAlignment="1">
      <alignment horizontal="center"/>
    </xf>
    <xf numFmtId="169" fontId="71" fillId="0" borderId="17" xfId="0" applyNumberFormat="1" applyFont="1" applyBorder="1" applyAlignment="1">
      <alignment horizontal="center"/>
    </xf>
    <xf numFmtId="169" fontId="71" fillId="0" borderId="19" xfId="0" applyNumberFormat="1" applyFont="1" applyBorder="1" applyAlignment="1">
      <alignment horizontal="left" wrapText="1"/>
    </xf>
    <xf numFmtId="169" fontId="15" fillId="6" borderId="0" xfId="0" applyNumberFormat="1" applyFont="1" applyFill="1"/>
    <xf numFmtId="169" fontId="71" fillId="0" borderId="18" xfId="0" applyNumberFormat="1" applyFont="1" applyBorder="1" applyAlignment="1">
      <alignment horizontal="left" wrapText="1"/>
    </xf>
    <xf numFmtId="169" fontId="12" fillId="0" borderId="7" xfId="0" applyNumberFormat="1" applyFont="1" applyBorder="1" applyAlignment="1">
      <alignment horizontal="center"/>
    </xf>
    <xf numFmtId="169" fontId="72" fillId="0" borderId="19" xfId="0" applyNumberFormat="1" applyFont="1" applyBorder="1"/>
    <xf numFmtId="169" fontId="72" fillId="2" borderId="19" xfId="0" applyNumberFormat="1" applyFont="1" applyFill="1" applyBorder="1" applyAlignment="1">
      <alignment horizontal="center"/>
    </xf>
    <xf numFmtId="169" fontId="75" fillId="0" borderId="29" xfId="0" applyNumberFormat="1" applyFont="1" applyBorder="1"/>
    <xf numFmtId="169" fontId="75" fillId="4" borderId="29" xfId="0" applyNumberFormat="1" applyFont="1" applyFill="1" applyBorder="1" applyAlignment="1">
      <alignment horizontal="center"/>
    </xf>
    <xf numFmtId="169" fontId="75" fillId="0" borderId="29" xfId="0" applyNumberFormat="1" applyFont="1" applyBorder="1" applyAlignment="1">
      <alignment horizontal="center"/>
    </xf>
    <xf numFmtId="169" fontId="75" fillId="0" borderId="29" xfId="0" applyNumberFormat="1" applyFont="1" applyBorder="1" applyAlignment="1">
      <alignment horizontal="left" wrapText="1"/>
    </xf>
    <xf numFmtId="169" fontId="75" fillId="0" borderId="30" xfId="0" applyNumberFormat="1" applyFont="1" applyBorder="1" applyAlignment="1">
      <alignment horizontal="left" wrapText="1"/>
    </xf>
    <xf numFmtId="169" fontId="75" fillId="4" borderId="30" xfId="0" applyNumberFormat="1" applyFont="1" applyFill="1" applyBorder="1" applyAlignment="1">
      <alignment horizontal="center"/>
    </xf>
    <xf numFmtId="169" fontId="75" fillId="0" borderId="30" xfId="0" applyNumberFormat="1" applyFont="1" applyBorder="1" applyAlignment="1">
      <alignment horizontal="center"/>
    </xf>
    <xf numFmtId="169" fontId="73" fillId="7" borderId="17" xfId="0" applyNumberFormat="1" applyFont="1" applyFill="1" applyBorder="1" applyAlignment="1">
      <alignment horizontal="left" wrapText="1"/>
    </xf>
    <xf numFmtId="169" fontId="76" fillId="7" borderId="20" xfId="0" applyNumberFormat="1" applyFont="1" applyFill="1" applyBorder="1" applyAlignment="1">
      <alignment horizontal="left" wrapText="1"/>
    </xf>
    <xf numFmtId="169" fontId="75" fillId="0" borderId="29" xfId="0" applyNumberFormat="1" applyFont="1" applyBorder="1" applyAlignment="1">
      <alignment wrapText="1"/>
    </xf>
    <xf numFmtId="169" fontId="74" fillId="0" borderId="0" xfId="0" applyNumberFormat="1" applyFont="1"/>
    <xf numFmtId="169" fontId="75" fillId="0" borderId="19" xfId="0" applyNumberFormat="1" applyFont="1" applyBorder="1" applyAlignment="1">
      <alignment wrapText="1"/>
    </xf>
    <xf numFmtId="169" fontId="75" fillId="4" borderId="19" xfId="0" applyNumberFormat="1" applyFont="1" applyFill="1" applyBorder="1" applyAlignment="1">
      <alignment horizontal="center"/>
    </xf>
    <xf numFmtId="169" fontId="75" fillId="0" borderId="19" xfId="0" applyNumberFormat="1" applyFont="1" applyBorder="1" applyAlignment="1">
      <alignment horizontal="center"/>
    </xf>
    <xf numFmtId="169" fontId="71" fillId="0" borderId="19" xfId="0" applyNumberFormat="1" applyFont="1" applyBorder="1" applyAlignment="1">
      <alignment wrapText="1"/>
    </xf>
    <xf numFmtId="169" fontId="75" fillId="0" borderId="30" xfId="0" applyNumberFormat="1" applyFont="1" applyBorder="1" applyAlignment="1">
      <alignment wrapText="1"/>
    </xf>
    <xf numFmtId="169" fontId="75" fillId="4" borderId="18" xfId="0" applyNumberFormat="1" applyFont="1" applyFill="1" applyBorder="1" applyAlignment="1">
      <alignment horizontal="center"/>
    </xf>
    <xf numFmtId="169" fontId="75" fillId="0" borderId="18" xfId="0" applyNumberFormat="1" applyFont="1" applyBorder="1" applyAlignment="1">
      <alignment horizontal="center"/>
    </xf>
    <xf numFmtId="169" fontId="4" fillId="0" borderId="0" xfId="0" applyNumberFormat="1" applyFont="1"/>
    <xf numFmtId="169" fontId="3" fillId="0" borderId="0" xfId="0" applyNumberFormat="1" applyFont="1" applyAlignment="1">
      <alignment wrapText="1"/>
    </xf>
    <xf numFmtId="169" fontId="3" fillId="4" borderId="0" xfId="0" applyNumberFormat="1" applyFont="1" applyFill="1" applyAlignment="1">
      <alignment horizontal="center"/>
    </xf>
    <xf numFmtId="169" fontId="13" fillId="7" borderId="13" xfId="0" applyNumberFormat="1" applyFont="1" applyFill="1" applyBorder="1" applyAlignment="1">
      <alignment horizontal="left"/>
    </xf>
    <xf numFmtId="169" fontId="11" fillId="7" borderId="23" xfId="0" applyNumberFormat="1" applyFont="1" applyFill="1" applyBorder="1"/>
    <xf numFmtId="169" fontId="11" fillId="7" borderId="24" xfId="0" applyNumberFormat="1" applyFont="1" applyFill="1" applyBorder="1"/>
    <xf numFmtId="169" fontId="11" fillId="7" borderId="17" xfId="0" applyNumberFormat="1" applyFont="1" applyFill="1" applyBorder="1" applyAlignment="1">
      <alignment horizontal="left" wrapText="1"/>
    </xf>
    <xf numFmtId="169" fontId="13" fillId="7" borderId="15" xfId="0" applyNumberFormat="1" applyFont="1" applyFill="1" applyBorder="1" applyAlignment="1">
      <alignment horizontal="left"/>
    </xf>
    <xf numFmtId="169" fontId="11" fillId="2" borderId="18" xfId="0" applyNumberFormat="1" applyFont="1" applyFill="1" applyBorder="1" applyAlignment="1">
      <alignment horizontal="center"/>
    </xf>
    <xf numFmtId="169" fontId="3" fillId="4" borderId="29" xfId="0" applyNumberFormat="1" applyFont="1" applyFill="1" applyBorder="1" applyAlignment="1">
      <alignment horizontal="center"/>
    </xf>
    <xf numFmtId="169" fontId="3" fillId="0" borderId="18" xfId="0" applyNumberFormat="1" applyFont="1" applyBorder="1" applyAlignment="1">
      <alignment horizontal="left"/>
    </xf>
    <xf numFmtId="169" fontId="3" fillId="4" borderId="18" xfId="0" applyNumberFormat="1" applyFont="1" applyFill="1" applyBorder="1" applyAlignment="1">
      <alignment horizontal="center"/>
    </xf>
    <xf numFmtId="169" fontId="3" fillId="3" borderId="18" xfId="0" applyNumberFormat="1" applyFont="1" applyFill="1" applyBorder="1" applyAlignment="1">
      <alignment horizontal="left" wrapText="1"/>
    </xf>
    <xf numFmtId="169" fontId="4" fillId="3" borderId="0" xfId="0" applyNumberFormat="1" applyFont="1" applyFill="1"/>
    <xf numFmtId="169" fontId="11" fillId="7" borderId="13" xfId="0" applyNumberFormat="1" applyFont="1" applyFill="1" applyBorder="1" applyAlignment="1">
      <alignment horizontal="left" wrapText="1"/>
    </xf>
    <xf numFmtId="169" fontId="11" fillId="2" borderId="12" xfId="0" applyNumberFormat="1" applyFont="1" applyFill="1" applyBorder="1" applyAlignment="1">
      <alignment horizontal="center"/>
    </xf>
    <xf numFmtId="169" fontId="13" fillId="7" borderId="15" xfId="0" applyNumberFormat="1" applyFont="1" applyFill="1" applyBorder="1" applyAlignment="1">
      <alignment horizontal="left" wrapText="1"/>
    </xf>
    <xf numFmtId="169" fontId="3" fillId="3" borderId="29" xfId="0" applyNumberFormat="1" applyFont="1" applyFill="1" applyBorder="1" applyAlignment="1">
      <alignment wrapText="1"/>
    </xf>
    <xf numFmtId="169" fontId="22" fillId="3" borderId="0" xfId="0" applyNumberFormat="1" applyFont="1" applyFill="1"/>
    <xf numFmtId="169" fontId="3" fillId="4" borderId="19" xfId="0" applyNumberFormat="1" applyFont="1" applyFill="1" applyBorder="1" applyAlignment="1">
      <alignment horizontal="center"/>
    </xf>
    <xf numFmtId="169" fontId="3" fillId="0" borderId="19" xfId="0" applyNumberFormat="1" applyFont="1" applyBorder="1" applyAlignment="1">
      <alignment horizontal="center"/>
    </xf>
    <xf numFmtId="169" fontId="3" fillId="3" borderId="19" xfId="0" applyNumberFormat="1" applyFont="1" applyFill="1" applyBorder="1" applyAlignment="1">
      <alignment wrapText="1"/>
    </xf>
    <xf numFmtId="169" fontId="13" fillId="7" borderId="23" xfId="0" applyNumberFormat="1" applyFont="1" applyFill="1" applyBorder="1" applyAlignment="1">
      <alignment horizontal="left"/>
    </xf>
    <xf numFmtId="169" fontId="11" fillId="2" borderId="23" xfId="0" applyNumberFormat="1" applyFont="1" applyFill="1" applyBorder="1"/>
    <xf numFmtId="169" fontId="11" fillId="2" borderId="24" xfId="0" applyNumberFormat="1" applyFont="1" applyFill="1" applyBorder="1"/>
    <xf numFmtId="169" fontId="11" fillId="7" borderId="23" xfId="0" applyNumberFormat="1" applyFont="1" applyFill="1" applyBorder="1" applyAlignment="1">
      <alignment horizontal="left" wrapText="1"/>
    </xf>
    <xf numFmtId="169" fontId="3" fillId="0" borderId="29" xfId="0" applyNumberFormat="1" applyFont="1" applyBorder="1" applyAlignment="1">
      <alignment horizontal="left"/>
    </xf>
    <xf numFmtId="169" fontId="3" fillId="4" borderId="31" xfId="0" applyNumberFormat="1" applyFont="1" applyFill="1" applyBorder="1"/>
    <xf numFmtId="169" fontId="3" fillId="4" borderId="32" xfId="0" applyNumberFormat="1" applyFont="1" applyFill="1" applyBorder="1"/>
    <xf numFmtId="169" fontId="3" fillId="0" borderId="31" xfId="0" applyNumberFormat="1" applyFont="1" applyBorder="1"/>
    <xf numFmtId="169" fontId="3" fillId="0" borderId="32" xfId="0" applyNumberFormat="1" applyFont="1" applyBorder="1"/>
    <xf numFmtId="169" fontId="3" fillId="3" borderId="29" xfId="0" applyNumberFormat="1" applyFont="1" applyFill="1" applyBorder="1" applyAlignment="1">
      <alignment horizontal="left" wrapText="1"/>
    </xf>
    <xf numFmtId="169" fontId="3" fillId="4" borderId="33" xfId="0" applyNumberFormat="1" applyFont="1" applyFill="1" applyBorder="1"/>
    <xf numFmtId="169" fontId="3" fillId="4" borderId="34" xfId="0" applyNumberFormat="1" applyFont="1" applyFill="1" applyBorder="1"/>
    <xf numFmtId="169" fontId="3" fillId="0" borderId="41" xfId="0" applyNumberFormat="1" applyFont="1" applyBorder="1"/>
    <xf numFmtId="169" fontId="3" fillId="4" borderId="41" xfId="0" applyNumberFormat="1" applyFont="1" applyFill="1" applyBorder="1"/>
    <xf numFmtId="169" fontId="3" fillId="4" borderId="40" xfId="0" applyNumberFormat="1" applyFont="1" applyFill="1" applyBorder="1"/>
    <xf numFmtId="169" fontId="3" fillId="0" borderId="40" xfId="0" applyNumberFormat="1" applyFont="1" applyBorder="1"/>
    <xf numFmtId="169" fontId="3" fillId="3" borderId="30" xfId="0" applyNumberFormat="1" applyFont="1" applyFill="1" applyBorder="1" applyAlignment="1">
      <alignment wrapText="1"/>
    </xf>
    <xf numFmtId="169" fontId="3" fillId="0" borderId="0" xfId="0" applyNumberFormat="1" applyFont="1" applyAlignment="1">
      <alignment horizontal="left"/>
    </xf>
    <xf numFmtId="169" fontId="13" fillId="7" borderId="17" xfId="0" applyNumberFormat="1" applyFont="1" applyFill="1" applyBorder="1" applyAlignment="1">
      <alignment horizontal="left"/>
    </xf>
    <xf numFmtId="169" fontId="13" fillId="7" borderId="18" xfId="0" applyNumberFormat="1" applyFont="1" applyFill="1" applyBorder="1" applyAlignment="1">
      <alignment horizontal="left"/>
    </xf>
    <xf numFmtId="169" fontId="13" fillId="7" borderId="18" xfId="0" applyNumberFormat="1" applyFont="1" applyFill="1" applyBorder="1" applyAlignment="1">
      <alignment horizontal="left" wrapText="1"/>
    </xf>
    <xf numFmtId="169" fontId="3" fillId="0" borderId="31" xfId="0" applyNumberFormat="1" applyFont="1" applyBorder="1" applyAlignment="1">
      <alignment horizontal="left"/>
    </xf>
    <xf numFmtId="169" fontId="3" fillId="3" borderId="31" xfId="0" applyNumberFormat="1" applyFont="1" applyFill="1" applyBorder="1" applyAlignment="1">
      <alignment horizontal="left" wrapText="1"/>
    </xf>
    <xf numFmtId="169" fontId="3" fillId="3" borderId="31" xfId="0" applyNumberFormat="1" applyFont="1" applyFill="1" applyBorder="1" applyAlignment="1">
      <alignment wrapText="1"/>
    </xf>
    <xf numFmtId="169" fontId="3" fillId="3" borderId="41" xfId="0" applyNumberFormat="1" applyFont="1" applyFill="1" applyBorder="1" applyAlignment="1">
      <alignment wrapText="1"/>
    </xf>
    <xf numFmtId="169" fontId="2" fillId="0" borderId="5" xfId="0" applyNumberFormat="1" applyFont="1" applyBorder="1" applyAlignment="1">
      <alignment horizontal="center" vertical="center"/>
    </xf>
    <xf numFmtId="169" fontId="2" fillId="0" borderId="5" xfId="0" applyNumberFormat="1" applyFont="1" applyBorder="1" applyAlignment="1">
      <alignment vertical="center"/>
    </xf>
    <xf numFmtId="169" fontId="2" fillId="4" borderId="5" xfId="0" applyNumberFormat="1" applyFont="1" applyFill="1" applyBorder="1" applyAlignment="1">
      <alignment vertical="center"/>
    </xf>
    <xf numFmtId="169" fontId="2" fillId="3" borderId="1" xfId="0" applyNumberFormat="1" applyFont="1" applyFill="1" applyBorder="1" applyAlignment="1">
      <alignment vertical="center"/>
    </xf>
    <xf numFmtId="169" fontId="2" fillId="4" borderId="2" xfId="0" applyNumberFormat="1" applyFont="1" applyFill="1" applyBorder="1" applyAlignment="1">
      <alignment vertical="center"/>
    </xf>
    <xf numFmtId="169" fontId="1" fillId="0" borderId="1" xfId="0" applyNumberFormat="1" applyFont="1" applyBorder="1" applyAlignment="1">
      <alignment vertical="center"/>
    </xf>
    <xf numFmtId="169" fontId="1" fillId="0" borderId="1" xfId="0" applyNumberFormat="1" applyFont="1" applyBorder="1" applyAlignment="1">
      <alignment horizontal="center" vertical="center"/>
    </xf>
    <xf numFmtId="169" fontId="1" fillId="4" borderId="1" xfId="0" applyNumberFormat="1" applyFont="1" applyFill="1" applyBorder="1" applyAlignment="1">
      <alignment vertical="center"/>
    </xf>
    <xf numFmtId="169" fontId="19" fillId="0" borderId="0" xfId="0" applyNumberFormat="1" applyFont="1" applyAlignment="1">
      <alignment horizontal="left"/>
    </xf>
    <xf numFmtId="169" fontId="3" fillId="3" borderId="0" xfId="0" applyNumberFormat="1" applyFont="1" applyFill="1"/>
    <xf numFmtId="169" fontId="1" fillId="3" borderId="0" xfId="0" applyNumberFormat="1" applyFont="1" applyFill="1" applyAlignment="1">
      <alignment horizontal="center" vertical="center"/>
    </xf>
    <xf numFmtId="169" fontId="1" fillId="3" borderId="0" xfId="0" applyNumberFormat="1" applyFont="1" applyFill="1" applyAlignment="1">
      <alignment vertical="center"/>
    </xf>
    <xf numFmtId="169" fontId="2" fillId="3" borderId="8" xfId="0" applyNumberFormat="1" applyFont="1" applyFill="1" applyBorder="1" applyAlignment="1">
      <alignment horizontal="center" vertical="center"/>
    </xf>
    <xf numFmtId="169" fontId="2" fillId="3" borderId="8" xfId="0" applyNumberFormat="1" applyFont="1" applyFill="1" applyBorder="1" applyAlignment="1">
      <alignment vertical="center"/>
    </xf>
    <xf numFmtId="169" fontId="2" fillId="3" borderId="0" xfId="0" applyNumberFormat="1" applyFont="1" applyFill="1" applyAlignment="1">
      <alignment horizontal="center" vertical="center"/>
    </xf>
    <xf numFmtId="169" fontId="2" fillId="3" borderId="0" xfId="0" applyNumberFormat="1" applyFont="1" applyFill="1" applyAlignment="1">
      <alignment vertical="center"/>
    </xf>
    <xf numFmtId="169" fontId="1" fillId="3" borderId="10" xfId="0" applyNumberFormat="1" applyFont="1" applyFill="1" applyBorder="1" applyAlignment="1">
      <alignment horizontal="center" vertical="center"/>
    </xf>
    <xf numFmtId="169" fontId="1" fillId="3" borderId="10" xfId="0" applyNumberFormat="1" applyFont="1" applyFill="1" applyBorder="1" applyAlignment="1">
      <alignment vertical="center"/>
    </xf>
    <xf numFmtId="169" fontId="2" fillId="0" borderId="0" xfId="0" applyNumberFormat="1" applyFont="1" applyAlignment="1">
      <alignment horizontal="center" vertical="center" wrapText="1"/>
    </xf>
    <xf numFmtId="169" fontId="2" fillId="0" borderId="8" xfId="0" applyNumberFormat="1" applyFont="1" applyBorder="1" applyAlignment="1">
      <alignment horizontal="center" vertical="center" wrapText="1"/>
    </xf>
    <xf numFmtId="169" fontId="2" fillId="0" borderId="9" xfId="0" applyNumberFormat="1" applyFont="1" applyBorder="1" applyAlignment="1">
      <alignment horizontal="center" vertical="center" wrapText="1"/>
    </xf>
    <xf numFmtId="169" fontId="1" fillId="0" borderId="11" xfId="0" applyNumberFormat="1" applyFont="1" applyBorder="1" applyAlignment="1">
      <alignment horizontal="center" vertical="center" wrapText="1"/>
    </xf>
    <xf numFmtId="169" fontId="1" fillId="0" borderId="10" xfId="0" applyNumberFormat="1" applyFont="1" applyBorder="1" applyAlignment="1">
      <alignment horizontal="center" vertical="center" wrapText="1"/>
    </xf>
    <xf numFmtId="169" fontId="19" fillId="0" borderId="0" xfId="0" applyNumberFormat="1" applyFont="1"/>
    <xf numFmtId="169" fontId="2" fillId="0" borderId="27" xfId="0" applyNumberFormat="1" applyFont="1" applyBorder="1" applyAlignment="1">
      <alignment horizontal="right"/>
    </xf>
    <xf numFmtId="169" fontId="2" fillId="4" borderId="27" xfId="0" applyNumberFormat="1" applyFont="1" applyFill="1" applyBorder="1"/>
    <xf numFmtId="169" fontId="2" fillId="4" borderId="27" xfId="2" applyNumberFormat="1" applyFont="1" applyFill="1" applyBorder="1" applyAlignment="1"/>
    <xf numFmtId="169" fontId="2" fillId="0" borderId="27" xfId="2" applyNumberFormat="1" applyFont="1" applyBorder="1" applyAlignment="1">
      <alignment horizontal="right"/>
    </xf>
    <xf numFmtId="169" fontId="2" fillId="3" borderId="25" xfId="0" applyNumberFormat="1" applyFont="1" applyFill="1" applyBorder="1" applyAlignment="1">
      <alignment vertical="center"/>
    </xf>
    <xf numFmtId="169" fontId="2" fillId="4" borderId="28" xfId="0" applyNumberFormat="1" applyFont="1" applyFill="1" applyBorder="1"/>
    <xf numFmtId="169" fontId="3" fillId="0" borderId="12" xfId="0" applyNumberFormat="1" applyFont="1" applyBorder="1"/>
    <xf numFmtId="169" fontId="2" fillId="3" borderId="9" xfId="0" applyNumberFormat="1" applyFont="1" applyFill="1" applyBorder="1" applyAlignment="1">
      <alignment vertical="center"/>
    </xf>
    <xf numFmtId="169" fontId="2" fillId="0" borderId="11" xfId="0" applyNumberFormat="1" applyFont="1" applyBorder="1"/>
    <xf numFmtId="169" fontId="1" fillId="4" borderId="11" xfId="0" applyNumberFormat="1" applyFont="1" applyFill="1" applyBorder="1"/>
    <xf numFmtId="169" fontId="1" fillId="0" borderId="11" xfId="0" applyNumberFormat="1" applyFont="1" applyBorder="1"/>
    <xf numFmtId="169" fontId="1" fillId="3" borderId="11" xfId="0" applyNumberFormat="1" applyFont="1" applyFill="1" applyBorder="1" applyAlignment="1">
      <alignment vertical="center"/>
    </xf>
    <xf numFmtId="169" fontId="2" fillId="4" borderId="8" xfId="0" applyNumberFormat="1" applyFont="1" applyFill="1" applyBorder="1"/>
    <xf numFmtId="169" fontId="2" fillId="0" borderId="9" xfId="0" applyNumberFormat="1" applyFont="1" applyBorder="1" applyAlignment="1">
      <alignment horizontal="right"/>
    </xf>
    <xf numFmtId="169" fontId="2" fillId="4" borderId="9" xfId="0" applyNumberFormat="1" applyFont="1" applyFill="1" applyBorder="1"/>
    <xf numFmtId="169" fontId="2" fillId="0" borderId="11" xfId="0" applyNumberFormat="1" applyFont="1" applyBorder="1" applyAlignment="1">
      <alignment horizontal="right"/>
    </xf>
    <xf numFmtId="169" fontId="2" fillId="4" borderId="11" xfId="0" applyNumberFormat="1" applyFont="1" applyFill="1" applyBorder="1"/>
    <xf numFmtId="169" fontId="2" fillId="3" borderId="11" xfId="0" applyNumberFormat="1" applyFont="1" applyFill="1" applyBorder="1" applyAlignment="1">
      <alignment vertical="center"/>
    </xf>
    <xf numFmtId="169" fontId="6" fillId="0" borderId="4" xfId="0" applyNumberFormat="1" applyFont="1" applyBorder="1" applyAlignment="1">
      <alignment vertical="center"/>
    </xf>
    <xf numFmtId="169" fontId="6" fillId="4" borderId="0" xfId="0" applyNumberFormat="1" applyFont="1" applyFill="1"/>
    <xf numFmtId="169" fontId="6" fillId="3" borderId="0" xfId="0" applyNumberFormat="1" applyFont="1" applyFill="1" applyAlignment="1">
      <alignment horizontal="left" vertical="center" indent="1"/>
    </xf>
    <xf numFmtId="169" fontId="6" fillId="0" borderId="4" xfId="0" applyNumberFormat="1" applyFont="1" applyBorder="1" applyAlignment="1">
      <alignment horizontal="right"/>
    </xf>
    <xf numFmtId="169" fontId="6" fillId="4" borderId="8" xfId="0" applyNumberFormat="1" applyFont="1" applyFill="1" applyBorder="1"/>
    <xf numFmtId="169" fontId="6" fillId="3" borderId="8" xfId="0" applyNumberFormat="1" applyFont="1" applyFill="1" applyBorder="1" applyAlignment="1">
      <alignment horizontal="left" vertical="center" indent="1"/>
    </xf>
    <xf numFmtId="169" fontId="20" fillId="0" borderId="10" xfId="0" applyNumberFormat="1" applyFont="1" applyBorder="1"/>
    <xf numFmtId="169" fontId="1" fillId="4" borderId="10" xfId="0" applyNumberFormat="1" applyFont="1" applyFill="1" applyBorder="1"/>
    <xf numFmtId="169" fontId="1" fillId="0" borderId="10" xfId="0" applyNumberFormat="1" applyFont="1" applyBorder="1"/>
    <xf numFmtId="169" fontId="2" fillId="4" borderId="4" xfId="0" applyNumberFormat="1" applyFont="1" applyFill="1" applyBorder="1"/>
    <xf numFmtId="169" fontId="2" fillId="0" borderId="4" xfId="0" applyNumberFormat="1" applyFont="1" applyBorder="1"/>
    <xf numFmtId="169" fontId="2" fillId="3" borderId="4" xfId="0" applyNumberFormat="1" applyFont="1" applyFill="1" applyBorder="1" applyAlignment="1">
      <alignment vertical="center"/>
    </xf>
    <xf numFmtId="169" fontId="6" fillId="0" borderId="11" xfId="0" applyNumberFormat="1" applyFont="1" applyBorder="1" applyAlignment="1">
      <alignment horizontal="left"/>
    </xf>
    <xf numFmtId="169" fontId="1" fillId="4" borderId="0" xfId="0" applyNumberFormat="1" applyFont="1" applyFill="1"/>
    <xf numFmtId="169" fontId="2" fillId="4" borderId="1" xfId="0" applyNumberFormat="1" applyFont="1" applyFill="1" applyBorder="1"/>
    <xf numFmtId="169" fontId="2" fillId="0" borderId="1" xfId="0" applyNumberFormat="1" applyFont="1" applyBorder="1"/>
    <xf numFmtId="169" fontId="2" fillId="3" borderId="8" xfId="0" applyNumberFormat="1" applyFont="1" applyFill="1" applyBorder="1" applyAlignment="1">
      <alignment horizontal="left" vertical="center"/>
    </xf>
    <xf numFmtId="169" fontId="2" fillId="3" borderId="0" xfId="0" applyNumberFormat="1" applyFont="1" applyFill="1" applyAlignment="1">
      <alignment horizontal="left" vertical="center" wrapText="1"/>
    </xf>
    <xf numFmtId="169" fontId="11" fillId="3" borderId="0" xfId="0" applyNumberFormat="1" applyFont="1" applyFill="1" applyAlignment="1">
      <alignment vertical="center"/>
    </xf>
    <xf numFmtId="169" fontId="6" fillId="0" borderId="8" xfId="0" applyNumberFormat="1" applyFont="1" applyBorder="1"/>
    <xf numFmtId="169" fontId="3" fillId="0" borderId="0" xfId="2" applyNumberFormat="1" applyFont="1" applyAlignment="1">
      <alignment horizontal="right"/>
    </xf>
    <xf numFmtId="169" fontId="2" fillId="0" borderId="9" xfId="0" applyNumberFormat="1" applyFont="1" applyBorder="1" applyAlignment="1">
      <alignment horizontal="left" vertical="center" wrapText="1"/>
    </xf>
    <xf numFmtId="169" fontId="3" fillId="0" borderId="8" xfId="0" applyNumberFormat="1" applyFont="1" applyBorder="1"/>
    <xf numFmtId="169" fontId="2" fillId="3" borderId="9" xfId="0" applyNumberFormat="1" applyFont="1" applyFill="1" applyBorder="1" applyAlignment="1">
      <alignment horizontal="left" vertical="center" wrapText="1"/>
    </xf>
    <xf numFmtId="169" fontId="3" fillId="0" borderId="11" xfId="0" applyNumberFormat="1" applyFont="1" applyBorder="1"/>
    <xf numFmtId="169" fontId="1" fillId="3" borderId="11" xfId="0" applyNumberFormat="1" applyFont="1" applyFill="1" applyBorder="1" applyAlignment="1">
      <alignment horizontal="left" vertical="center"/>
    </xf>
    <xf numFmtId="169" fontId="2" fillId="3" borderId="8" xfId="0" applyNumberFormat="1" applyFont="1" applyFill="1" applyBorder="1" applyAlignment="1">
      <alignment horizontal="left" vertical="center" wrapText="1"/>
    </xf>
    <xf numFmtId="169" fontId="1" fillId="0" borderId="9" xfId="0" applyNumberFormat="1" applyFont="1" applyBorder="1" applyAlignment="1">
      <alignment horizontal="left" vertical="center"/>
    </xf>
    <xf numFmtId="169" fontId="1" fillId="4" borderId="9" xfId="0" applyNumberFormat="1" applyFont="1" applyFill="1" applyBorder="1"/>
    <xf numFmtId="169" fontId="1" fillId="0" borderId="8" xfId="0" applyNumberFormat="1" applyFont="1" applyBorder="1"/>
    <xf numFmtId="169" fontId="1" fillId="3" borderId="9" xfId="0" applyNumberFormat="1" applyFont="1" applyFill="1" applyBorder="1" applyAlignment="1">
      <alignment horizontal="left" vertical="center"/>
    </xf>
    <xf numFmtId="169" fontId="3" fillId="0" borderId="1" xfId="0" applyNumberFormat="1" applyFont="1" applyBorder="1"/>
    <xf numFmtId="169" fontId="1" fillId="0" borderId="1" xfId="0" applyNumberFormat="1" applyFont="1" applyBorder="1"/>
    <xf numFmtId="169" fontId="20" fillId="0" borderId="0" xfId="0" applyNumberFormat="1" applyFont="1"/>
    <xf numFmtId="169" fontId="2" fillId="3" borderId="0" xfId="0" applyNumberFormat="1" applyFont="1" applyFill="1" applyAlignment="1">
      <alignment vertical="center" wrapText="1"/>
    </xf>
    <xf numFmtId="169" fontId="6" fillId="3" borderId="0" xfId="0" applyNumberFormat="1" applyFont="1" applyFill="1"/>
    <xf numFmtId="169" fontId="3" fillId="0" borderId="25" xfId="0" applyNumberFormat="1" applyFont="1" applyBorder="1" applyAlignment="1">
      <alignment horizontal="center"/>
    </xf>
    <xf numFmtId="169" fontId="2" fillId="0" borderId="25" xfId="0" applyNumberFormat="1" applyFont="1" applyBorder="1"/>
    <xf numFmtId="169" fontId="2" fillId="0" borderId="25" xfId="0" applyNumberFormat="1" applyFont="1" applyBorder="1" applyAlignment="1">
      <alignment horizontal="center"/>
    </xf>
    <xf numFmtId="169" fontId="27" fillId="9" borderId="0" xfId="0" applyNumberFormat="1" applyFont="1" applyFill="1"/>
    <xf numFmtId="169" fontId="3" fillId="0" borderId="9" xfId="0" applyNumberFormat="1" applyFont="1" applyBorder="1" applyAlignment="1">
      <alignment horizontal="center"/>
    </xf>
    <xf numFmtId="169" fontId="2" fillId="3" borderId="9" xfId="0" applyNumberFormat="1" applyFont="1" applyFill="1" applyBorder="1"/>
    <xf numFmtId="169" fontId="2" fillId="0" borderId="9" xfId="0" applyNumberFormat="1" applyFont="1" applyBorder="1" applyAlignment="1">
      <alignment horizontal="center"/>
    </xf>
    <xf numFmtId="169" fontId="3" fillId="0" borderId="11" xfId="0" applyNumberFormat="1" applyFont="1" applyBorder="1" applyAlignment="1">
      <alignment horizontal="center"/>
    </xf>
    <xf numFmtId="169" fontId="1" fillId="3" borderId="11" xfId="0" applyNumberFormat="1" applyFont="1" applyFill="1" applyBorder="1"/>
    <xf numFmtId="169" fontId="2" fillId="0" borderId="11" xfId="0" applyNumberFormat="1" applyFont="1" applyBorder="1" applyAlignment="1">
      <alignment horizontal="center"/>
    </xf>
    <xf numFmtId="169" fontId="1" fillId="12" borderId="11" xfId="0" applyNumberFormat="1" applyFont="1" applyFill="1" applyBorder="1" applyAlignment="1">
      <alignment vertical="center"/>
    </xf>
    <xf numFmtId="169" fontId="3" fillId="0" borderId="8" xfId="0" applyNumberFormat="1" applyFont="1" applyBorder="1" applyAlignment="1">
      <alignment horizontal="center"/>
    </xf>
    <xf numFmtId="169" fontId="2" fillId="3" borderId="8" xfId="0" applyNumberFormat="1" applyFont="1" applyFill="1" applyBorder="1"/>
    <xf numFmtId="169" fontId="2" fillId="3" borderId="11" xfId="0" applyNumberFormat="1" applyFont="1" applyFill="1" applyBorder="1"/>
    <xf numFmtId="169" fontId="2" fillId="6" borderId="8" xfId="0" applyNumberFormat="1" applyFont="1" applyFill="1" applyBorder="1" applyAlignment="1">
      <alignment vertical="center"/>
    </xf>
    <xf numFmtId="169" fontId="2" fillId="12" borderId="8" xfId="0" applyNumberFormat="1" applyFont="1" applyFill="1" applyBorder="1" applyAlignment="1">
      <alignment vertical="center"/>
    </xf>
    <xf numFmtId="169" fontId="6" fillId="3" borderId="0" xfId="0" applyNumberFormat="1" applyFont="1" applyFill="1" applyAlignment="1">
      <alignment horizontal="left"/>
    </xf>
    <xf numFmtId="169" fontId="6" fillId="3" borderId="8" xfId="0" applyNumberFormat="1" applyFont="1" applyFill="1" applyBorder="1" applyAlignment="1">
      <alignment horizontal="left"/>
    </xf>
    <xf numFmtId="169" fontId="3" fillId="0" borderId="10" xfId="0" applyNumberFormat="1" applyFont="1" applyBorder="1" applyAlignment="1">
      <alignment horizontal="center"/>
    </xf>
    <xf numFmtId="169" fontId="1" fillId="3" borderId="10" xfId="0" applyNumberFormat="1" applyFont="1" applyFill="1" applyBorder="1"/>
    <xf numFmtId="169" fontId="2" fillId="0" borderId="10" xfId="0" applyNumberFormat="1" applyFont="1" applyBorder="1" applyAlignment="1">
      <alignment horizontal="center"/>
    </xf>
    <xf numFmtId="169" fontId="1" fillId="12" borderId="10" xfId="0" applyNumberFormat="1" applyFont="1" applyFill="1" applyBorder="1" applyAlignment="1">
      <alignment vertical="center"/>
    </xf>
    <xf numFmtId="169" fontId="2" fillId="3" borderId="4" xfId="0" applyNumberFormat="1" applyFont="1" applyFill="1" applyBorder="1"/>
    <xf numFmtId="169" fontId="2" fillId="0" borderId="5" xfId="0" applyNumberFormat="1" applyFont="1" applyBorder="1" applyAlignment="1">
      <alignment horizontal="center"/>
    </xf>
    <xf numFmtId="169" fontId="1" fillId="12" borderId="0" xfId="0" applyNumberFormat="1" applyFont="1" applyFill="1" applyAlignment="1">
      <alignment vertical="center"/>
    </xf>
    <xf numFmtId="169" fontId="2" fillId="3" borderId="1" xfId="0" applyNumberFormat="1" applyFont="1" applyFill="1" applyBorder="1"/>
    <xf numFmtId="169" fontId="2" fillId="0" borderId="1" xfId="0" applyNumberFormat="1" applyFont="1" applyBorder="1" applyAlignment="1">
      <alignment horizontal="center"/>
    </xf>
    <xf numFmtId="169" fontId="1" fillId="4" borderId="1" xfId="0" applyNumberFormat="1" applyFont="1" applyFill="1" applyBorder="1"/>
    <xf numFmtId="169" fontId="1" fillId="6" borderId="0" xfId="0" applyNumberFormat="1" applyFont="1" applyFill="1" applyAlignment="1">
      <alignment vertical="center"/>
    </xf>
    <xf numFmtId="169" fontId="1" fillId="0" borderId="10" xfId="0" applyNumberFormat="1" applyFont="1" applyBorder="1" applyAlignment="1">
      <alignment horizontal="center"/>
    </xf>
    <xf numFmtId="169" fontId="2" fillId="3" borderId="8" xfId="0" applyNumberFormat="1" applyFont="1" applyFill="1" applyBorder="1" applyAlignment="1">
      <alignment horizontal="left"/>
    </xf>
    <xf numFmtId="169" fontId="2" fillId="3" borderId="0" xfId="0" applyNumberFormat="1" applyFont="1" applyFill="1" applyAlignment="1">
      <alignment horizontal="left" wrapText="1"/>
    </xf>
    <xf numFmtId="169" fontId="2" fillId="3" borderId="8" xfId="0" applyNumberFormat="1" applyFont="1" applyFill="1" applyBorder="1" applyAlignment="1">
      <alignment horizontal="left" wrapText="1"/>
    </xf>
    <xf numFmtId="169" fontId="2" fillId="0" borderId="8" xfId="0" applyNumberFormat="1" applyFont="1" applyBorder="1" applyAlignment="1">
      <alignment horizontal="left" wrapText="1"/>
    </xf>
    <xf numFmtId="169" fontId="1" fillId="3" borderId="11" xfId="0" applyNumberFormat="1" applyFont="1" applyFill="1" applyBorder="1" applyAlignment="1">
      <alignment horizontal="left"/>
    </xf>
    <xf numFmtId="169" fontId="1" fillId="0" borderId="11" xfId="0" applyNumberFormat="1" applyFont="1" applyBorder="1" applyAlignment="1">
      <alignment horizontal="left"/>
    </xf>
    <xf numFmtId="169" fontId="1" fillId="6" borderId="11" xfId="0" applyNumberFormat="1" applyFont="1" applyFill="1" applyBorder="1" applyAlignment="1">
      <alignment vertical="center"/>
    </xf>
    <xf numFmtId="169" fontId="1" fillId="3" borderId="8" xfId="0" applyNumberFormat="1" applyFont="1" applyFill="1" applyBorder="1" applyAlignment="1">
      <alignment horizontal="left"/>
    </xf>
    <xf numFmtId="169" fontId="1" fillId="0" borderId="8" xfId="0" applyNumberFormat="1" applyFont="1" applyBorder="1" applyAlignment="1">
      <alignment horizontal="left"/>
    </xf>
    <xf numFmtId="169" fontId="1" fillId="4" borderId="8" xfId="0" applyNumberFormat="1" applyFont="1" applyFill="1" applyBorder="1"/>
    <xf numFmtId="169" fontId="1" fillId="6" borderId="8" xfId="0" applyNumberFormat="1" applyFont="1" applyFill="1" applyBorder="1" applyAlignment="1">
      <alignment vertical="center"/>
    </xf>
    <xf numFmtId="169" fontId="1" fillId="3" borderId="0" xfId="0" applyNumberFormat="1" applyFont="1" applyFill="1" applyAlignment="1">
      <alignment horizontal="left"/>
    </xf>
    <xf numFmtId="169" fontId="1" fillId="0" borderId="0" xfId="0" applyNumberFormat="1" applyFont="1" applyAlignment="1">
      <alignment horizontal="left"/>
    </xf>
    <xf numFmtId="169" fontId="1" fillId="6" borderId="10" xfId="0" applyNumberFormat="1" applyFont="1" applyFill="1" applyBorder="1" applyAlignment="1">
      <alignment vertical="center"/>
    </xf>
    <xf numFmtId="169" fontId="2" fillId="6" borderId="0" xfId="0" applyNumberFormat="1" applyFont="1" applyFill="1" applyAlignment="1">
      <alignment vertical="center"/>
    </xf>
    <xf numFmtId="169" fontId="11" fillId="0" borderId="0" xfId="0" applyNumberFormat="1" applyFont="1"/>
    <xf numFmtId="169" fontId="2" fillId="0" borderId="2" xfId="0" applyNumberFormat="1" applyFont="1" applyBorder="1" applyAlignment="1">
      <alignment horizontal="left" indent="1"/>
    </xf>
    <xf numFmtId="169" fontId="2" fillId="0" borderId="2" xfId="0" applyNumberFormat="1" applyFont="1" applyBorder="1" applyAlignment="1">
      <alignment horizontal="center"/>
    </xf>
    <xf numFmtId="169" fontId="0" fillId="0" borderId="0" xfId="0" applyNumberFormat="1"/>
    <xf numFmtId="169" fontId="1" fillId="21" borderId="0" xfId="0" applyNumberFormat="1" applyFont="1" applyFill="1"/>
    <xf numFmtId="169" fontId="85" fillId="0" borderId="0" xfId="0" applyNumberFormat="1" applyFont="1"/>
    <xf numFmtId="169" fontId="1" fillId="21" borderId="2" xfId="0" applyNumberFormat="1" applyFont="1" applyFill="1" applyBorder="1"/>
    <xf numFmtId="169" fontId="2" fillId="0" borderId="50" xfId="0" applyNumberFormat="1" applyFont="1" applyBorder="1"/>
    <xf numFmtId="169" fontId="2" fillId="0" borderId="51" xfId="0" applyNumberFormat="1" applyFont="1" applyBorder="1"/>
    <xf numFmtId="169" fontId="1" fillId="0" borderId="0" xfId="0" applyNumberFormat="1" applyFont="1" applyAlignment="1">
      <alignment wrapText="1"/>
    </xf>
    <xf numFmtId="169" fontId="2" fillId="0" borderId="9" xfId="0" applyNumberFormat="1" applyFont="1" applyBorder="1"/>
    <xf numFmtId="169" fontId="2" fillId="0" borderId="9" xfId="0" applyNumberFormat="1" applyFont="1" applyBorder="1" applyAlignment="1">
      <alignment horizontal="left" indent="1"/>
    </xf>
    <xf numFmtId="169" fontId="2" fillId="4" borderId="9" xfId="0" applyNumberFormat="1" applyFont="1" applyFill="1" applyBorder="1" applyAlignment="1">
      <alignment horizontal="right"/>
    </xf>
    <xf numFmtId="169" fontId="1" fillId="0" borderId="6" xfId="0" applyNumberFormat="1" applyFont="1" applyBorder="1"/>
    <xf numFmtId="169" fontId="2" fillId="0" borderId="22" xfId="0" applyNumberFormat="1" applyFont="1" applyBorder="1" applyAlignment="1">
      <alignment horizontal="left" indent="1"/>
    </xf>
    <xf numFmtId="169" fontId="1" fillId="0" borderId="4" xfId="0" applyNumberFormat="1" applyFont="1" applyBorder="1"/>
    <xf numFmtId="169" fontId="2" fillId="0" borderId="5" xfId="0" applyNumberFormat="1" applyFont="1" applyBorder="1" applyAlignment="1">
      <alignment horizontal="left" indent="1"/>
    </xf>
    <xf numFmtId="169" fontId="1" fillId="0" borderId="3" xfId="0" applyNumberFormat="1" applyFont="1" applyBorder="1"/>
    <xf numFmtId="169" fontId="2" fillId="0" borderId="0" xfId="0" applyNumberFormat="1" applyFont="1" applyAlignment="1">
      <alignment wrapText="1"/>
    </xf>
    <xf numFmtId="169" fontId="0" fillId="0" borderId="0" xfId="0" applyNumberFormat="1" applyAlignment="1">
      <alignment wrapText="1"/>
    </xf>
    <xf numFmtId="169" fontId="0" fillId="0" borderId="0" xfId="0" applyNumberFormat="1" applyAlignment="1">
      <alignment horizontal="right" wrapText="1"/>
    </xf>
    <xf numFmtId="169" fontId="2" fillId="6" borderId="4" xfId="0" applyNumberFormat="1" applyFont="1" applyFill="1" applyBorder="1" applyAlignment="1">
      <alignment horizontal="left" indent="1"/>
    </xf>
    <xf numFmtId="169" fontId="2" fillId="0" borderId="0" xfId="0" applyNumberFormat="1" applyFont="1" applyAlignment="1">
      <alignment horizontal="left" wrapText="1"/>
    </xf>
    <xf numFmtId="169" fontId="45" fillId="0" borderId="2" xfId="0" applyNumberFormat="1" applyFont="1" applyBorder="1"/>
    <xf numFmtId="169" fontId="51" fillId="0" borderId="2" xfId="0" applyNumberFormat="1" applyFont="1" applyBorder="1" applyAlignment="1">
      <alignment horizontal="center"/>
    </xf>
    <xf numFmtId="169" fontId="51" fillId="3" borderId="0" xfId="0" applyNumberFormat="1" applyFont="1" applyFill="1"/>
    <xf numFmtId="169" fontId="53" fillId="3" borderId="0" xfId="0" applyNumberFormat="1" applyFont="1" applyFill="1"/>
    <xf numFmtId="169" fontId="53" fillId="3" borderId="0" xfId="0" applyNumberFormat="1" applyFont="1" applyFill="1" applyAlignment="1">
      <alignment horizontal="center"/>
    </xf>
    <xf numFmtId="169" fontId="54" fillId="0" borderId="0" xfId="0" applyNumberFormat="1" applyFont="1"/>
    <xf numFmtId="169" fontId="55" fillId="3" borderId="0" xfId="0" applyNumberFormat="1" applyFont="1" applyFill="1" applyAlignment="1">
      <alignment horizontal="right"/>
    </xf>
    <xf numFmtId="169" fontId="56" fillId="9" borderId="0" xfId="0" applyNumberFormat="1" applyFont="1" applyFill="1" applyAlignment="1">
      <alignment horizontal="right"/>
    </xf>
    <xf numFmtId="169" fontId="52" fillId="10" borderId="2" xfId="0" applyNumberFormat="1" applyFont="1" applyFill="1" applyBorder="1" applyAlignment="1">
      <alignment horizontal="right"/>
    </xf>
    <xf numFmtId="169" fontId="57" fillId="11" borderId="0" xfId="0" applyNumberFormat="1" applyFont="1" applyFill="1"/>
    <xf numFmtId="169" fontId="2" fillId="3" borderId="4" xfId="2" applyNumberFormat="1" applyFont="1" applyFill="1" applyBorder="1" applyAlignment="1">
      <alignment horizontal="left"/>
    </xf>
    <xf numFmtId="169" fontId="51" fillId="8" borderId="5" xfId="2" applyNumberFormat="1" applyFont="1" applyFill="1" applyBorder="1" applyAlignment="1">
      <alignment horizontal="left"/>
    </xf>
    <xf numFmtId="169" fontId="58" fillId="11" borderId="4" xfId="0" applyNumberFormat="1" applyFont="1" applyFill="1" applyBorder="1" applyAlignment="1">
      <alignment horizontal="left"/>
    </xf>
    <xf numFmtId="169" fontId="2" fillId="3" borderId="5" xfId="2" applyNumberFormat="1" applyFont="1" applyFill="1" applyBorder="1" applyAlignment="1">
      <alignment horizontal="left"/>
    </xf>
    <xf numFmtId="169" fontId="63" fillId="8" borderId="5" xfId="2" applyNumberFormat="1" applyFont="1" applyFill="1" applyBorder="1" applyAlignment="1">
      <alignment horizontal="left"/>
    </xf>
    <xf numFmtId="169" fontId="6" fillId="3" borderId="5" xfId="2" applyNumberFormat="1" applyFont="1" applyFill="1" applyBorder="1" applyAlignment="1">
      <alignment horizontal="left"/>
    </xf>
    <xf numFmtId="169" fontId="58" fillId="8" borderId="4" xfId="0" applyNumberFormat="1" applyFont="1" applyFill="1" applyBorder="1" applyAlignment="1">
      <alignment horizontal="center"/>
    </xf>
    <xf numFmtId="169" fontId="58" fillId="11" borderId="4" xfId="0" applyNumberFormat="1" applyFont="1" applyFill="1" applyBorder="1" applyAlignment="1">
      <alignment horizontal="center"/>
    </xf>
    <xf numFmtId="169" fontId="58" fillId="11" borderId="0" xfId="0" applyNumberFormat="1" applyFont="1" applyFill="1"/>
    <xf numFmtId="169" fontId="58" fillId="11" borderId="0" xfId="0" applyNumberFormat="1" applyFont="1" applyFill="1" applyAlignment="1">
      <alignment horizontal="center"/>
    </xf>
    <xf numFmtId="169" fontId="2" fillId="0" borderId="0" xfId="0" applyNumberFormat="1" applyFont="1" applyAlignment="1">
      <alignment horizontal="left"/>
    </xf>
    <xf numFmtId="169" fontId="57" fillId="11" borderId="0" xfId="0" applyNumberFormat="1" applyFont="1" applyFill="1" applyAlignment="1">
      <alignment horizontal="center"/>
    </xf>
    <xf numFmtId="169" fontId="63" fillId="8" borderId="4" xfId="2" applyNumberFormat="1" applyFont="1" applyFill="1" applyBorder="1" applyAlignment="1">
      <alignment horizontal="left"/>
    </xf>
    <xf numFmtId="169" fontId="63" fillId="8" borderId="1" xfId="0" applyNumberFormat="1" applyFont="1" applyFill="1" applyBorder="1" applyAlignment="1">
      <alignment horizontal="left"/>
    </xf>
    <xf numFmtId="169" fontId="58" fillId="8" borderId="1" xfId="0" applyNumberFormat="1" applyFont="1" applyFill="1" applyBorder="1" applyAlignment="1">
      <alignment horizontal="center"/>
    </xf>
    <xf numFmtId="169" fontId="53" fillId="8" borderId="0" xfId="0" applyNumberFormat="1" applyFont="1" applyFill="1"/>
    <xf numFmtId="169" fontId="53" fillId="0" borderId="0" xfId="0" applyNumberFormat="1" applyFont="1" applyAlignment="1">
      <alignment horizontal="right"/>
    </xf>
    <xf numFmtId="169" fontId="51" fillId="0" borderId="0" xfId="0" applyNumberFormat="1" applyFont="1" applyAlignment="1">
      <alignment horizontal="left"/>
    </xf>
    <xf numFmtId="169" fontId="56" fillId="9" borderId="0" xfId="0" applyNumberFormat="1" applyFont="1" applyFill="1" applyAlignment="1">
      <alignment horizontal="left" indent="1"/>
    </xf>
    <xf numFmtId="169" fontId="56" fillId="9" borderId="0" xfId="0" applyNumberFormat="1" applyFont="1" applyFill="1" applyAlignment="1">
      <alignment horizontal="center"/>
    </xf>
    <xf numFmtId="169" fontId="56" fillId="9" borderId="0" xfId="0" applyNumberFormat="1" applyFont="1" applyFill="1" applyAlignment="1">
      <alignment horizontal="left"/>
    </xf>
    <xf numFmtId="169" fontId="58" fillId="8" borderId="0" xfId="0" applyNumberFormat="1" applyFont="1" applyFill="1" applyAlignment="1">
      <alignment horizontal="left" indent="1"/>
    </xf>
    <xf numFmtId="169" fontId="58" fillId="8" borderId="0" xfId="2" applyNumberFormat="1" applyFont="1" applyFill="1" applyAlignment="1">
      <alignment horizontal="left"/>
    </xf>
    <xf numFmtId="169" fontId="58" fillId="8" borderId="0" xfId="0" applyNumberFormat="1" applyFont="1" applyFill="1" applyAlignment="1">
      <alignment horizontal="left"/>
    </xf>
    <xf numFmtId="169" fontId="51" fillId="11" borderId="0" xfId="1" applyNumberFormat="1" applyFont="1" applyFill="1" applyBorder="1" applyAlignment="1">
      <alignment horizontal="left" indent="1"/>
    </xf>
    <xf numFmtId="169" fontId="51" fillId="11" borderId="0" xfId="1" applyNumberFormat="1" applyFont="1" applyFill="1" applyBorder="1" applyAlignment="1">
      <alignment horizontal="center"/>
    </xf>
    <xf numFmtId="169" fontId="51" fillId="11" borderId="0" xfId="1" applyNumberFormat="1" applyFont="1" applyFill="1" applyBorder="1" applyAlignment="1">
      <alignment horizontal="right"/>
    </xf>
    <xf numFmtId="169" fontId="51" fillId="11" borderId="0" xfId="0" applyNumberFormat="1" applyFont="1" applyFill="1"/>
    <xf numFmtId="169" fontId="51" fillId="11" borderId="2" xfId="1" applyNumberFormat="1" applyFont="1" applyFill="1" applyBorder="1" applyAlignment="1">
      <alignment horizontal="left" indent="1"/>
    </xf>
    <xf numFmtId="169" fontId="51" fillId="11" borderId="2" xfId="1" applyNumberFormat="1" applyFont="1" applyFill="1" applyBorder="1" applyAlignment="1">
      <alignment horizontal="center"/>
    </xf>
    <xf numFmtId="169" fontId="51" fillId="11" borderId="2" xfId="1" applyNumberFormat="1" applyFont="1" applyFill="1" applyBorder="1" applyAlignment="1">
      <alignment horizontal="right"/>
    </xf>
    <xf numFmtId="169" fontId="53" fillId="11" borderId="0" xfId="1" applyNumberFormat="1" applyFont="1" applyFill="1" applyBorder="1" applyAlignment="1">
      <alignment horizontal="left" indent="1"/>
    </xf>
    <xf numFmtId="169" fontId="53" fillId="11" borderId="0" xfId="1" applyNumberFormat="1" applyFont="1" applyFill="1" applyBorder="1" applyAlignment="1">
      <alignment horizontal="center"/>
    </xf>
    <xf numFmtId="169" fontId="53" fillId="11" borderId="0" xfId="1" applyNumberFormat="1" applyFont="1" applyFill="1" applyBorder="1" applyAlignment="1">
      <alignment horizontal="right"/>
    </xf>
    <xf numFmtId="169" fontId="53" fillId="11" borderId="7" xfId="0" applyNumberFormat="1" applyFont="1" applyFill="1" applyBorder="1"/>
    <xf numFmtId="169" fontId="56" fillId="9" borderId="0" xfId="1" applyNumberFormat="1" applyFont="1" applyFill="1" applyAlignment="1">
      <alignment horizontal="right"/>
    </xf>
    <xf numFmtId="169" fontId="56" fillId="15" borderId="0" xfId="1" applyNumberFormat="1" applyFont="1" applyFill="1" applyAlignment="1">
      <alignment horizontal="right"/>
    </xf>
    <xf numFmtId="169" fontId="51" fillId="8" borderId="0" xfId="2" applyNumberFormat="1" applyFont="1" applyFill="1" applyBorder="1" applyAlignment="1">
      <alignment horizontal="left" indent="1"/>
    </xf>
    <xf numFmtId="169" fontId="51" fillId="8" borderId="0" xfId="2" applyNumberFormat="1" applyFont="1" applyFill="1" applyBorder="1" applyAlignment="1">
      <alignment horizontal="center"/>
    </xf>
    <xf numFmtId="169" fontId="51" fillId="8" borderId="2" xfId="2" applyNumberFormat="1" applyFont="1" applyFill="1" applyBorder="1" applyAlignment="1">
      <alignment horizontal="left" indent="1"/>
    </xf>
    <xf numFmtId="169" fontId="51" fillId="8" borderId="2" xfId="2" applyNumberFormat="1" applyFont="1" applyFill="1" applyBorder="1" applyAlignment="1">
      <alignment horizontal="center"/>
    </xf>
    <xf numFmtId="169" fontId="53" fillId="8" borderId="0" xfId="2" applyNumberFormat="1" applyFont="1" applyFill="1" applyBorder="1" applyAlignment="1">
      <alignment horizontal="left" indent="1"/>
    </xf>
    <xf numFmtId="169" fontId="53" fillId="8" borderId="0" xfId="2" applyNumberFormat="1" applyFont="1" applyFill="1" applyBorder="1" applyAlignment="1">
      <alignment horizontal="center"/>
    </xf>
    <xf numFmtId="169" fontId="56" fillId="18" borderId="0" xfId="2" applyNumberFormat="1" applyFont="1" applyFill="1" applyAlignment="1">
      <alignment horizontal="left"/>
    </xf>
    <xf numFmtId="169" fontId="51" fillId="0" borderId="0" xfId="2" applyNumberFormat="1" applyFont="1" applyAlignment="1">
      <alignment horizontal="right"/>
    </xf>
    <xf numFmtId="169" fontId="51" fillId="11" borderId="0" xfId="2" applyNumberFormat="1" applyFont="1" applyFill="1"/>
    <xf numFmtId="169" fontId="82" fillId="11" borderId="0" xfId="1" applyNumberFormat="1" applyFont="1" applyFill="1" applyAlignment="1">
      <alignment horizontal="left"/>
    </xf>
    <xf numFmtId="169" fontId="82" fillId="11" borderId="0" xfId="1" applyNumberFormat="1" applyFont="1" applyFill="1" applyAlignment="1">
      <alignment horizontal="right"/>
    </xf>
    <xf numFmtId="169" fontId="63" fillId="11" borderId="0" xfId="2" applyNumberFormat="1" applyFont="1" applyFill="1" applyAlignment="1">
      <alignment horizontal="left" indent="1"/>
    </xf>
    <xf numFmtId="169" fontId="63" fillId="11" borderId="0" xfId="2" applyNumberFormat="1" applyFont="1" applyFill="1" applyAlignment="1">
      <alignment horizontal="right"/>
    </xf>
    <xf numFmtId="169" fontId="83" fillId="11" borderId="7" xfId="1" applyNumberFormat="1" applyFont="1" applyFill="1" applyBorder="1" applyAlignment="1">
      <alignment horizontal="left"/>
    </xf>
    <xf numFmtId="169" fontId="83" fillId="11" borderId="7" xfId="1" applyNumberFormat="1" applyFont="1" applyFill="1" applyBorder="1" applyAlignment="1">
      <alignment horizontal="right"/>
    </xf>
    <xf numFmtId="169" fontId="53" fillId="11" borderId="7" xfId="2" applyNumberFormat="1" applyFont="1" applyFill="1" applyBorder="1"/>
    <xf numFmtId="169" fontId="55" fillId="3" borderId="0" xfId="0" applyNumberFormat="1" applyFont="1" applyFill="1"/>
    <xf numFmtId="169" fontId="53" fillId="0" borderId="0" xfId="0" quotePrefix="1" applyNumberFormat="1" applyFont="1" applyAlignment="1">
      <alignment horizontal="right"/>
    </xf>
    <xf numFmtId="169" fontId="58" fillId="0" borderId="0" xfId="0" applyNumberFormat="1" applyFont="1"/>
    <xf numFmtId="169" fontId="58" fillId="8" borderId="2" xfId="0" applyNumberFormat="1" applyFont="1" applyFill="1" applyBorder="1"/>
    <xf numFmtId="169" fontId="65" fillId="0" borderId="0" xfId="0" applyNumberFormat="1" applyFont="1"/>
    <xf numFmtId="169" fontId="65" fillId="0" borderId="0" xfId="0" applyNumberFormat="1" applyFont="1" applyAlignment="1">
      <alignment horizontal="center"/>
    </xf>
    <xf numFmtId="169" fontId="51" fillId="3" borderId="0" xfId="0" applyNumberFormat="1" applyFont="1" applyFill="1" applyAlignment="1">
      <alignment horizontal="left" indent="1"/>
    </xf>
    <xf numFmtId="169" fontId="66" fillId="0" borderId="0" xfId="0" applyNumberFormat="1" applyFont="1"/>
    <xf numFmtId="169" fontId="66" fillId="0" borderId="0" xfId="0" applyNumberFormat="1" applyFont="1" applyAlignment="1">
      <alignment horizontal="right"/>
    </xf>
    <xf numFmtId="169" fontId="66" fillId="3" borderId="0" xfId="0" applyNumberFormat="1" applyFont="1" applyFill="1"/>
    <xf numFmtId="169" fontId="61" fillId="0" borderId="0" xfId="0" applyNumberFormat="1" applyFont="1" applyAlignment="1">
      <alignment horizontal="right"/>
    </xf>
    <xf numFmtId="169" fontId="61" fillId="3" borderId="0" xfId="0" applyNumberFormat="1" applyFont="1" applyFill="1" applyAlignment="1">
      <alignment horizontal="left" indent="2"/>
    </xf>
    <xf numFmtId="169" fontId="58" fillId="11" borderId="2" xfId="0" applyNumberFormat="1" applyFont="1" applyFill="1" applyBorder="1"/>
    <xf numFmtId="169" fontId="60" fillId="0" borderId="0" xfId="0" applyNumberFormat="1" applyFont="1"/>
    <xf numFmtId="169" fontId="53" fillId="3" borderId="0" xfId="0" applyNumberFormat="1" applyFont="1" applyFill="1" applyAlignment="1">
      <alignment horizontal="left" indent="1"/>
    </xf>
    <xf numFmtId="169" fontId="51" fillId="11" borderId="0" xfId="0" applyNumberFormat="1" applyFont="1" applyFill="1" applyAlignment="1">
      <alignment horizontal="left"/>
    </xf>
    <xf numFmtId="169" fontId="51" fillId="11" borderId="2" xfId="0" applyNumberFormat="1" applyFont="1" applyFill="1" applyBorder="1" applyAlignment="1">
      <alignment horizontal="left"/>
    </xf>
    <xf numFmtId="169" fontId="51" fillId="3" borderId="0" xfId="0" applyNumberFormat="1" applyFont="1" applyFill="1" applyAlignment="1">
      <alignment horizontal="left" wrapText="1" indent="1"/>
    </xf>
    <xf numFmtId="169" fontId="58" fillId="0" borderId="0" xfId="1" applyNumberFormat="1" applyFont="1" applyFill="1"/>
    <xf numFmtId="169" fontId="50" fillId="0" borderId="0" xfId="0" applyNumberFormat="1" applyFont="1"/>
    <xf numFmtId="169" fontId="87" fillId="0" borderId="0" xfId="0" applyNumberFormat="1" applyFont="1"/>
    <xf numFmtId="169" fontId="36" fillId="13" borderId="0" xfId="0" applyNumberFormat="1" applyFont="1" applyFill="1" applyAlignment="1">
      <alignment horizontal="right" vertical="top" wrapText="1"/>
    </xf>
    <xf numFmtId="169" fontId="36" fillId="0" borderId="0" xfId="0" applyNumberFormat="1" applyFont="1" applyAlignment="1">
      <alignment horizontal="right" vertical="top" wrapText="1"/>
    </xf>
    <xf numFmtId="169" fontId="49" fillId="0" borderId="0" xfId="0" applyNumberFormat="1" applyFont="1" applyAlignment="1">
      <alignment horizontal="right"/>
    </xf>
    <xf numFmtId="169" fontId="36" fillId="13" borderId="0" xfId="3" applyNumberFormat="1" applyFont="1" applyFill="1" applyAlignment="1">
      <alignment horizontal="right"/>
    </xf>
    <xf numFmtId="169" fontId="38" fillId="14" borderId="0" xfId="0" applyNumberFormat="1" applyFont="1" applyFill="1"/>
    <xf numFmtId="169" fontId="38" fillId="14" borderId="2" xfId="0" applyNumberFormat="1" applyFont="1" applyFill="1" applyBorder="1"/>
    <xf numFmtId="169" fontId="39" fillId="14" borderId="0" xfId="0" applyNumberFormat="1" applyFont="1" applyFill="1"/>
    <xf numFmtId="169" fontId="69" fillId="0" borderId="0" xfId="0" applyNumberFormat="1" applyFont="1"/>
    <xf numFmtId="169" fontId="70" fillId="0" borderId="0" xfId="0" applyNumberFormat="1" applyFont="1"/>
    <xf numFmtId="43" fontId="51" fillId="0" borderId="0" xfId="2" applyFont="1"/>
    <xf numFmtId="167" fontId="51" fillId="0" borderId="0" xfId="2" applyNumberFormat="1" applyFont="1"/>
    <xf numFmtId="167" fontId="2" fillId="0" borderId="0" xfId="2" applyNumberFormat="1" applyFont="1"/>
    <xf numFmtId="169" fontId="2" fillId="0" borderId="21" xfId="0" applyNumberFormat="1" applyFont="1" applyBorder="1" applyAlignment="1">
      <alignment vertical="top"/>
    </xf>
    <xf numFmtId="0" fontId="3" fillId="0" borderId="0" xfId="0" applyFont="1"/>
    <xf numFmtId="0" fontId="2" fillId="0" borderId="0" xfId="0" applyFont="1" applyAlignment="1">
      <alignment vertical="top"/>
    </xf>
    <xf numFmtId="0" fontId="2" fillId="0" borderId="0" xfId="0" applyFont="1" applyAlignment="1">
      <alignment vertical="center"/>
    </xf>
    <xf numFmtId="0" fontId="63" fillId="0" borderId="0" xfId="0" applyFont="1"/>
    <xf numFmtId="0" fontId="24" fillId="0" borderId="0" xfId="0" applyFont="1"/>
    <xf numFmtId="169" fontId="32" fillId="7" borderId="23" xfId="0" applyNumberFormat="1" applyFont="1" applyFill="1" applyBorder="1" applyAlignment="1">
      <alignment horizontal="centerContinuous" vertical="center"/>
    </xf>
    <xf numFmtId="169" fontId="32" fillId="7" borderId="24" xfId="0" applyNumberFormat="1" applyFont="1" applyFill="1" applyBorder="1" applyAlignment="1">
      <alignment horizontal="centerContinuous" vertical="center"/>
    </xf>
    <xf numFmtId="169" fontId="32" fillId="7" borderId="12" xfId="0" applyNumberFormat="1" applyFont="1" applyFill="1" applyBorder="1" applyAlignment="1">
      <alignment horizontal="center" vertical="center"/>
    </xf>
    <xf numFmtId="169" fontId="32" fillId="7" borderId="18" xfId="0" applyNumberFormat="1" applyFont="1" applyFill="1" applyBorder="1" applyAlignment="1">
      <alignment horizontal="left" vertical="center" wrapText="1"/>
    </xf>
    <xf numFmtId="170" fontId="32" fillId="7" borderId="18" xfId="0" applyNumberFormat="1" applyFont="1" applyFill="1" applyBorder="1" applyAlignment="1">
      <alignment horizontal="center" vertical="center"/>
    </xf>
    <xf numFmtId="169" fontId="3" fillId="3" borderId="29" xfId="0" applyNumberFormat="1" applyFont="1" applyFill="1" applyBorder="1" applyAlignment="1">
      <alignment vertical="center"/>
    </xf>
    <xf numFmtId="167" fontId="3" fillId="20" borderId="29" xfId="2" applyNumberFormat="1" applyFont="1" applyFill="1" applyBorder="1" applyAlignment="1">
      <alignment horizontal="center" vertical="center"/>
    </xf>
    <xf numFmtId="169" fontId="3" fillId="3" borderId="18" xfId="0" applyNumberFormat="1" applyFont="1" applyFill="1" applyBorder="1" applyAlignment="1">
      <alignment horizontal="left" vertical="center"/>
    </xf>
    <xf numFmtId="169" fontId="3" fillId="3" borderId="0" xfId="0" applyNumberFormat="1" applyFont="1" applyFill="1" applyAlignment="1">
      <alignment horizontal="center" vertical="center"/>
    </xf>
    <xf numFmtId="169" fontId="32" fillId="7" borderId="13" xfId="0" applyNumberFormat="1" applyFont="1" applyFill="1" applyBorder="1" applyAlignment="1">
      <alignment horizontal="left" vertical="center"/>
    </xf>
    <xf numFmtId="169" fontId="32" fillId="7" borderId="15" xfId="0" applyNumberFormat="1" applyFont="1" applyFill="1" applyBorder="1" applyAlignment="1">
      <alignment horizontal="left" vertical="center" wrapText="1"/>
    </xf>
    <xf numFmtId="169" fontId="3" fillId="0" borderId="29" xfId="0" applyNumberFormat="1" applyFont="1" applyBorder="1" applyAlignment="1">
      <alignment vertical="center"/>
    </xf>
    <xf numFmtId="167" fontId="3" fillId="20" borderId="29" xfId="2" applyNumberFormat="1" applyFont="1" applyFill="1" applyBorder="1" applyAlignment="1">
      <alignment horizontal="right" vertical="center"/>
    </xf>
    <xf numFmtId="167" fontId="3" fillId="0" borderId="29" xfId="2" applyNumberFormat="1" applyFont="1" applyBorder="1" applyAlignment="1">
      <alignment horizontal="right" vertical="center"/>
    </xf>
    <xf numFmtId="169" fontId="3" fillId="0" borderId="18" xfId="0" applyNumberFormat="1" applyFont="1" applyBorder="1" applyAlignment="1">
      <alignment vertical="center"/>
    </xf>
    <xf numFmtId="168" fontId="3" fillId="20" borderId="29" xfId="1" applyNumberFormat="1" applyFont="1" applyFill="1" applyBorder="1" applyAlignment="1">
      <alignment horizontal="right" vertical="center"/>
    </xf>
    <xf numFmtId="168" fontId="3" fillId="0" borderId="29" xfId="1" applyNumberFormat="1" applyFont="1" applyFill="1" applyBorder="1" applyAlignment="1">
      <alignment horizontal="right" vertical="center"/>
    </xf>
    <xf numFmtId="169" fontId="32" fillId="7" borderId="17" xfId="0" applyNumberFormat="1" applyFont="1" applyFill="1" applyBorder="1" applyAlignment="1">
      <alignment horizontal="left" vertical="center"/>
    </xf>
    <xf numFmtId="169" fontId="3" fillId="3" borderId="29" xfId="0" applyNumberFormat="1" applyFont="1" applyFill="1" applyBorder="1" applyAlignment="1">
      <alignment horizontal="left" vertical="center"/>
    </xf>
    <xf numFmtId="169" fontId="3" fillId="3" borderId="41" xfId="2" applyNumberFormat="1" applyFont="1" applyFill="1" applyBorder="1" applyAlignment="1">
      <alignment vertical="center"/>
    </xf>
    <xf numFmtId="167" fontId="3" fillId="20" borderId="18" xfId="2" applyNumberFormat="1" applyFont="1" applyFill="1" applyBorder="1" applyAlignment="1">
      <alignment horizontal="right" vertical="center"/>
    </xf>
    <xf numFmtId="167" fontId="3" fillId="0" borderId="18" xfId="2" applyNumberFormat="1" applyFont="1" applyBorder="1" applyAlignment="1">
      <alignment horizontal="right" vertical="center"/>
    </xf>
    <xf numFmtId="169" fontId="32" fillId="7" borderId="3" xfId="0" applyNumberFormat="1" applyFont="1" applyFill="1" applyBorder="1" applyAlignment="1">
      <alignment horizontal="centerContinuous" vertical="center"/>
    </xf>
    <xf numFmtId="169" fontId="3" fillId="0" borderId="19" xfId="0" applyNumberFormat="1" applyFont="1" applyBorder="1" applyAlignment="1">
      <alignment vertical="center"/>
    </xf>
    <xf numFmtId="169" fontId="3" fillId="3" borderId="31" xfId="0" applyNumberFormat="1" applyFont="1" applyFill="1" applyBorder="1" applyAlignment="1">
      <alignment horizontal="left" vertical="center"/>
    </xf>
    <xf numFmtId="169" fontId="3" fillId="3" borderId="31" xfId="0" applyNumberFormat="1" applyFont="1" applyFill="1" applyBorder="1" applyAlignment="1">
      <alignment vertical="center"/>
    </xf>
    <xf numFmtId="169" fontId="3" fillId="3" borderId="41" xfId="0" applyNumberFormat="1" applyFont="1" applyFill="1" applyBorder="1" applyAlignment="1">
      <alignment vertical="center"/>
    </xf>
    <xf numFmtId="169" fontId="2" fillId="0" borderId="44" xfId="0" applyNumberFormat="1" applyFont="1" applyBorder="1" applyAlignment="1">
      <alignment horizontal="left" vertical="center"/>
    </xf>
    <xf numFmtId="167" fontId="2" fillId="0" borderId="4" xfId="2" applyNumberFormat="1" applyFont="1" applyBorder="1" applyAlignment="1">
      <alignment horizontal="right" vertical="center"/>
    </xf>
    <xf numFmtId="167" fontId="2" fillId="20" borderId="4" xfId="2" applyNumberFormat="1" applyFont="1" applyFill="1" applyBorder="1" applyAlignment="1">
      <alignment horizontal="right" vertical="center"/>
    </xf>
    <xf numFmtId="168" fontId="2" fillId="20" borderId="4" xfId="1" applyNumberFormat="1" applyFont="1" applyFill="1" applyBorder="1" applyAlignment="1">
      <alignment horizontal="right" vertical="center"/>
    </xf>
    <xf numFmtId="168" fontId="2" fillId="0" borderId="4" xfId="1" applyNumberFormat="1" applyFont="1" applyFill="1" applyBorder="1" applyAlignment="1">
      <alignment horizontal="right" vertical="center"/>
    </xf>
    <xf numFmtId="169" fontId="2" fillId="20" borderId="4" xfId="0" applyNumberFormat="1" applyFont="1" applyFill="1" applyBorder="1" applyAlignment="1">
      <alignment horizontal="right" vertical="center"/>
    </xf>
    <xf numFmtId="167" fontId="53" fillId="8" borderId="0" xfId="2" applyNumberFormat="1" applyFont="1" applyFill="1" applyAlignment="1">
      <alignment horizontal="right"/>
    </xf>
    <xf numFmtId="166" fontId="2" fillId="20" borderId="4" xfId="2" applyNumberFormat="1" applyFont="1" applyFill="1" applyBorder="1" applyAlignment="1">
      <alignment horizontal="right" vertical="center"/>
    </xf>
    <xf numFmtId="166" fontId="2" fillId="0" borderId="4" xfId="2" applyNumberFormat="1" applyFont="1" applyBorder="1" applyAlignment="1">
      <alignment horizontal="right" vertical="center"/>
    </xf>
    <xf numFmtId="1" fontId="1" fillId="2" borderId="2" xfId="0" applyNumberFormat="1" applyFont="1" applyFill="1" applyBorder="1" applyAlignment="1">
      <alignment horizontal="center"/>
    </xf>
    <xf numFmtId="167" fontId="1" fillId="2" borderId="0" xfId="2" applyNumberFormat="1" applyFont="1" applyFill="1" applyAlignment="1">
      <alignment horizontal="center"/>
    </xf>
    <xf numFmtId="167" fontId="1" fillId="2" borderId="2" xfId="2" applyNumberFormat="1" applyFont="1" applyFill="1" applyBorder="1" applyAlignment="1">
      <alignment horizontal="center"/>
    </xf>
    <xf numFmtId="166" fontId="2" fillId="3" borderId="4" xfId="2" applyNumberFormat="1" applyFont="1" applyFill="1" applyBorder="1" applyAlignment="1">
      <alignment horizontal="left"/>
    </xf>
    <xf numFmtId="166" fontId="6" fillId="3" borderId="5" xfId="2" applyNumberFormat="1" applyFont="1" applyFill="1" applyBorder="1" applyAlignment="1">
      <alignment horizontal="left"/>
    </xf>
    <xf numFmtId="166" fontId="90" fillId="3" borderId="0" xfId="2" applyNumberFormat="1" applyFont="1" applyFill="1" applyAlignment="1">
      <alignment horizontal="center"/>
    </xf>
    <xf numFmtId="166" fontId="26" fillId="3" borderId="0" xfId="2" applyNumberFormat="1" applyFont="1" applyFill="1" applyAlignment="1">
      <alignment horizontal="center"/>
    </xf>
    <xf numFmtId="165" fontId="2" fillId="0" borderId="4" xfId="2" applyNumberFormat="1" applyFont="1" applyBorder="1" applyAlignment="1">
      <alignment horizontal="center"/>
    </xf>
    <xf numFmtId="165" fontId="2" fillId="0" borderId="4" xfId="2" applyNumberFormat="1" applyFont="1" applyBorder="1" applyAlignment="1">
      <alignment horizontal="left"/>
    </xf>
    <xf numFmtId="169" fontId="1" fillId="0" borderId="4" xfId="0" applyNumberFormat="1" applyFont="1" applyBorder="1" applyAlignment="1">
      <alignment horizontal="left" indent="1"/>
    </xf>
    <xf numFmtId="165" fontId="2" fillId="0" borderId="4" xfId="0" applyNumberFormat="1" applyFont="1" applyBorder="1" applyAlignment="1">
      <alignment horizontal="left"/>
    </xf>
    <xf numFmtId="165" fontId="2" fillId="0" borderId="0" xfId="0" applyNumberFormat="1" applyFont="1" applyAlignment="1">
      <alignment horizontal="left"/>
    </xf>
    <xf numFmtId="165" fontId="1" fillId="0" borderId="0" xfId="0" applyNumberFormat="1" applyFont="1" applyAlignment="1">
      <alignment horizontal="left"/>
    </xf>
    <xf numFmtId="167" fontId="2" fillId="4" borderId="5" xfId="2" applyNumberFormat="1" applyFont="1" applyFill="1" applyBorder="1"/>
    <xf numFmtId="167" fontId="2" fillId="0" borderId="4" xfId="2" applyNumberFormat="1" applyFont="1" applyBorder="1"/>
    <xf numFmtId="167" fontId="2" fillId="4" borderId="4" xfId="2" applyNumberFormat="1" applyFont="1" applyFill="1" applyBorder="1"/>
    <xf numFmtId="1" fontId="1" fillId="2" borderId="2" xfId="0" applyNumberFormat="1" applyFont="1" applyFill="1" applyBorder="1" applyAlignment="1">
      <alignment horizontal="right"/>
    </xf>
    <xf numFmtId="167" fontId="2" fillId="4" borderId="9" xfId="2" applyNumberFormat="1" applyFont="1" applyFill="1" applyBorder="1"/>
    <xf numFmtId="167" fontId="2" fillId="0" borderId="9" xfId="2" applyNumberFormat="1" applyFont="1" applyBorder="1"/>
    <xf numFmtId="167" fontId="2" fillId="0" borderId="9" xfId="2" applyNumberFormat="1" applyFont="1" applyBorder="1" applyAlignment="1">
      <alignment horizontal="right"/>
    </xf>
    <xf numFmtId="167" fontId="86" fillId="20" borderId="9" xfId="2" applyNumberFormat="1" applyFont="1" applyFill="1" applyBorder="1"/>
    <xf numFmtId="167" fontId="86" fillId="0" borderId="9" xfId="2" applyNumberFormat="1" applyFont="1" applyBorder="1"/>
    <xf numFmtId="167" fontId="2" fillId="4" borderId="8" xfId="2" applyNumberFormat="1" applyFont="1" applyFill="1" applyBorder="1"/>
    <xf numFmtId="167" fontId="2" fillId="0" borderId="8" xfId="2" applyNumberFormat="1" applyFont="1" applyBorder="1"/>
    <xf numFmtId="167" fontId="2" fillId="4" borderId="9" xfId="2" applyNumberFormat="1" applyFont="1" applyFill="1" applyBorder="1" applyAlignment="1">
      <alignment horizontal="right"/>
    </xf>
    <xf numFmtId="165" fontId="2" fillId="22" borderId="50" xfId="2" applyNumberFormat="1" applyFont="1" applyFill="1" applyBorder="1" applyAlignment="1">
      <alignment horizontal="right"/>
    </xf>
    <xf numFmtId="165" fontId="2" fillId="0" borderId="50" xfId="2" applyNumberFormat="1" applyFont="1" applyBorder="1" applyAlignment="1">
      <alignment horizontal="right"/>
    </xf>
    <xf numFmtId="165" fontId="2" fillId="0" borderId="51" xfId="2" applyNumberFormat="1" applyFont="1" applyBorder="1" applyAlignment="1">
      <alignment horizontal="right"/>
    </xf>
    <xf numFmtId="165" fontId="1" fillId="0" borderId="0" xfId="2" applyNumberFormat="1" applyFont="1" applyAlignment="1">
      <alignment horizontal="right"/>
    </xf>
    <xf numFmtId="43" fontId="51" fillId="0" borderId="0" xfId="2" applyFont="1" applyAlignment="1">
      <alignment horizontal="right"/>
    </xf>
    <xf numFmtId="167" fontId="51" fillId="0" borderId="0" xfId="2" applyNumberFormat="1" applyFont="1" applyAlignment="1">
      <alignment horizontal="right"/>
    </xf>
    <xf numFmtId="167" fontId="58" fillId="11" borderId="4" xfId="2" applyNumberFormat="1" applyFont="1" applyFill="1" applyBorder="1" applyAlignment="1">
      <alignment horizontal="right"/>
    </xf>
    <xf numFmtId="167" fontId="2" fillId="8" borderId="28" xfId="2" applyNumberFormat="1" applyFont="1" applyFill="1" applyBorder="1" applyAlignment="1">
      <alignment horizontal="right" vertical="top"/>
    </xf>
    <xf numFmtId="167" fontId="2" fillId="8" borderId="28" xfId="2" applyNumberFormat="1" applyFont="1" applyFill="1" applyBorder="1" applyAlignment="1">
      <alignment horizontal="left" vertical="top"/>
    </xf>
    <xf numFmtId="167" fontId="1" fillId="11" borderId="11" xfId="2" applyNumberFormat="1" applyFont="1" applyFill="1" applyBorder="1" applyAlignment="1">
      <alignment horizontal="right" vertical="top"/>
    </xf>
    <xf numFmtId="167" fontId="1" fillId="11" borderId="11" xfId="2" applyNumberFormat="1" applyFont="1" applyFill="1" applyBorder="1" applyAlignment="1">
      <alignment horizontal="left" vertical="top"/>
    </xf>
    <xf numFmtId="167" fontId="2" fillId="11" borderId="27" xfId="2" applyNumberFormat="1" applyFont="1" applyFill="1" applyBorder="1" applyAlignment="1">
      <alignment horizontal="right" vertical="top"/>
    </xf>
    <xf numFmtId="167" fontId="2" fillId="11" borderId="27" xfId="2" applyNumberFormat="1" applyFont="1" applyFill="1" applyBorder="1" applyAlignment="1">
      <alignment horizontal="left" vertical="top"/>
    </xf>
    <xf numFmtId="167" fontId="15" fillId="6" borderId="0" xfId="2" applyNumberFormat="1" applyFont="1" applyFill="1" applyAlignment="1">
      <alignment horizontal="centerContinuous" vertical="top" wrapText="1"/>
    </xf>
    <xf numFmtId="167" fontId="2" fillId="11" borderId="8" xfId="2" applyNumberFormat="1" applyFont="1" applyFill="1" applyBorder="1" applyAlignment="1">
      <alignment horizontal="right" vertical="top"/>
    </xf>
    <xf numFmtId="167" fontId="2" fillId="11" borderId="8" xfId="2" applyNumberFormat="1" applyFont="1" applyFill="1" applyBorder="1" applyAlignment="1">
      <alignment horizontal="left" vertical="top"/>
    </xf>
    <xf numFmtId="167" fontId="6" fillId="8" borderId="0" xfId="2" applyNumberFormat="1" applyFont="1" applyFill="1" applyAlignment="1">
      <alignment horizontal="left" vertical="top"/>
    </xf>
    <xf numFmtId="167" fontId="1" fillId="11" borderId="10" xfId="2" applyNumberFormat="1" applyFont="1" applyFill="1" applyBorder="1" applyAlignment="1">
      <alignment horizontal="right" vertical="top"/>
    </xf>
    <xf numFmtId="167" fontId="1" fillId="11" borderId="10" xfId="2" applyNumberFormat="1" applyFont="1" applyFill="1" applyBorder="1" applyAlignment="1">
      <alignment horizontal="left" vertical="top"/>
    </xf>
    <xf numFmtId="167" fontId="2" fillId="11" borderId="4" xfId="2" applyNumberFormat="1" applyFont="1" applyFill="1" applyBorder="1" applyAlignment="1">
      <alignment horizontal="right" vertical="top"/>
    </xf>
    <xf numFmtId="167" fontId="2" fillId="11" borderId="4" xfId="2" applyNumberFormat="1" applyFont="1" applyFill="1" applyBorder="1" applyAlignment="1">
      <alignment horizontal="left" vertical="top"/>
    </xf>
    <xf numFmtId="167" fontId="1" fillId="11" borderId="0" xfId="2" applyNumberFormat="1" applyFont="1" applyFill="1" applyAlignment="1">
      <alignment horizontal="right" vertical="top"/>
    </xf>
    <xf numFmtId="167" fontId="1" fillId="11" borderId="0" xfId="2" applyNumberFormat="1" applyFont="1" applyFill="1" applyAlignment="1">
      <alignment horizontal="left" vertical="top"/>
    </xf>
    <xf numFmtId="167" fontId="2" fillId="8" borderId="1" xfId="2" applyNumberFormat="1" applyFont="1" applyFill="1" applyBorder="1" applyAlignment="1">
      <alignment horizontal="right" vertical="top"/>
    </xf>
    <xf numFmtId="167" fontId="2" fillId="11" borderId="0" xfId="2" applyNumberFormat="1" applyFont="1" applyFill="1" applyAlignment="1">
      <alignment horizontal="right" vertical="top"/>
    </xf>
    <xf numFmtId="167" fontId="2" fillId="11" borderId="0" xfId="2" applyNumberFormat="1" applyFont="1" applyFill="1" applyAlignment="1">
      <alignment horizontal="left" vertical="top"/>
    </xf>
    <xf numFmtId="167" fontId="56" fillId="18" borderId="0" xfId="2" applyNumberFormat="1" applyFont="1" applyFill="1"/>
    <xf numFmtId="167" fontId="40" fillId="14" borderId="0" xfId="2" applyNumberFormat="1" applyFont="1" applyFill="1"/>
    <xf numFmtId="167" fontId="41" fillId="0" borderId="0" xfId="2" applyNumberFormat="1" applyFont="1"/>
    <xf numFmtId="167" fontId="36" fillId="0" borderId="0" xfId="2" applyNumberFormat="1" applyFont="1" applyAlignment="1">
      <alignment horizontal="right" vertical="top" wrapText="1"/>
    </xf>
    <xf numFmtId="167" fontId="38" fillId="14" borderId="0" xfId="2" applyNumberFormat="1" applyFont="1" applyFill="1"/>
    <xf numFmtId="167" fontId="49" fillId="0" borderId="0" xfId="2" applyNumberFormat="1" applyFont="1"/>
    <xf numFmtId="167" fontId="40" fillId="14" borderId="2" xfId="2" applyNumberFormat="1" applyFont="1" applyFill="1" applyBorder="1"/>
    <xf numFmtId="167" fontId="38" fillId="14" borderId="2" xfId="2" applyNumberFormat="1" applyFont="1" applyFill="1" applyBorder="1"/>
    <xf numFmtId="167" fontId="39" fillId="14" borderId="0" xfId="2" applyNumberFormat="1" applyFont="1" applyFill="1"/>
    <xf numFmtId="167" fontId="42" fillId="0" borderId="0" xfId="2" applyNumberFormat="1" applyFont="1"/>
    <xf numFmtId="167" fontId="38" fillId="0" borderId="0" xfId="2" applyNumberFormat="1" applyFont="1"/>
    <xf numFmtId="167" fontId="0" fillId="0" borderId="0" xfId="2" applyNumberFormat="1" applyFont="1"/>
    <xf numFmtId="1" fontId="36" fillId="13" borderId="0" xfId="3" applyNumberFormat="1" applyFont="1" applyFill="1" applyAlignment="1">
      <alignment horizontal="right"/>
    </xf>
    <xf numFmtId="1" fontId="0" fillId="0" borderId="0" xfId="0" applyNumberFormat="1"/>
    <xf numFmtId="1" fontId="38" fillId="0" borderId="0" xfId="0" applyNumberFormat="1" applyFont="1" applyAlignment="1">
      <alignment horizontal="right"/>
    </xf>
    <xf numFmtId="1" fontId="36" fillId="0" borderId="0" xfId="0" applyNumberFormat="1" applyFont="1" applyAlignment="1">
      <alignment horizontal="right" vertical="top" wrapText="1"/>
    </xf>
    <xf numFmtId="1" fontId="49" fillId="0" borderId="0" xfId="0" applyNumberFormat="1" applyFont="1" applyAlignment="1">
      <alignment horizontal="right"/>
    </xf>
    <xf numFmtId="166" fontId="56" fillId="9" borderId="0" xfId="2" applyNumberFormat="1" applyFont="1" applyFill="1" applyAlignment="1">
      <alignment horizontal="center"/>
    </xf>
    <xf numFmtId="166" fontId="56" fillId="9" borderId="0" xfId="2" applyNumberFormat="1" applyFont="1" applyFill="1" applyAlignment="1">
      <alignment horizontal="right"/>
    </xf>
    <xf numFmtId="168" fontId="38" fillId="23" borderId="0" xfId="1" applyNumberFormat="1" applyFont="1" applyFill="1"/>
    <xf numFmtId="168" fontId="38" fillId="23" borderId="2" xfId="1" applyNumberFormat="1" applyFont="1" applyFill="1" applyBorder="1"/>
    <xf numFmtId="168" fontId="39" fillId="23" borderId="0" xfId="1" applyNumberFormat="1" applyFont="1" applyFill="1"/>
    <xf numFmtId="167" fontId="91" fillId="0" borderId="0" xfId="2" applyNumberFormat="1" applyFont="1"/>
    <xf numFmtId="169" fontId="30" fillId="3" borderId="2" xfId="0" applyNumberFormat="1" applyFont="1" applyFill="1" applyBorder="1" applyAlignment="1">
      <alignment horizontal="right"/>
    </xf>
    <xf numFmtId="169" fontId="3" fillId="3" borderId="0" xfId="0" applyNumberFormat="1" applyFont="1" applyFill="1" applyAlignment="1">
      <alignment horizontal="right"/>
    </xf>
    <xf numFmtId="169" fontId="1" fillId="0" borderId="0" xfId="0" applyNumberFormat="1" applyFont="1" applyAlignment="1">
      <alignment horizontal="right" vertical="top"/>
    </xf>
    <xf numFmtId="169" fontId="15" fillId="0" borderId="0" xfId="2" applyNumberFormat="1" applyFont="1" applyFill="1" applyAlignment="1">
      <alignment horizontal="right" vertical="top" wrapText="1"/>
    </xf>
    <xf numFmtId="169" fontId="24" fillId="0" borderId="0" xfId="0" applyNumberFormat="1" applyFont="1" applyAlignment="1">
      <alignment horizontal="right" vertical="top"/>
    </xf>
    <xf numFmtId="169" fontId="11" fillId="0" borderId="0" xfId="0" applyNumberFormat="1" applyFont="1" applyAlignment="1">
      <alignment horizontal="right" vertical="top"/>
    </xf>
    <xf numFmtId="169" fontId="9" fillId="0" borderId="0" xfId="0" applyNumberFormat="1" applyFont="1" applyAlignment="1">
      <alignment horizontal="right" vertical="top"/>
    </xf>
    <xf numFmtId="169" fontId="63" fillId="0" borderId="0" xfId="1" applyNumberFormat="1" applyFont="1" applyFill="1" applyAlignment="1">
      <alignment horizontal="right"/>
    </xf>
    <xf numFmtId="169" fontId="63" fillId="0" borderId="0" xfId="1" applyNumberFormat="1" applyFont="1" applyFill="1" applyAlignment="1">
      <alignment horizontal="right" vertical="center"/>
    </xf>
    <xf numFmtId="169" fontId="53" fillId="5" borderId="0" xfId="0" applyNumberFormat="1" applyFont="1" applyFill="1" applyAlignment="1">
      <alignment horizontal="right"/>
    </xf>
    <xf numFmtId="169" fontId="58" fillId="0" borderId="0" xfId="0" applyNumberFormat="1" applyFont="1" applyAlignment="1">
      <alignment horizontal="right" indent="1"/>
    </xf>
    <xf numFmtId="169" fontId="2" fillId="8" borderId="4" xfId="0" applyNumberFormat="1" applyFont="1" applyFill="1" applyBorder="1" applyAlignment="1">
      <alignment horizontal="left" vertical="top"/>
    </xf>
    <xf numFmtId="169" fontId="2" fillId="8" borderId="4" xfId="0" applyNumberFormat="1" applyFont="1" applyFill="1" applyBorder="1" applyAlignment="1">
      <alignment horizontal="right" vertical="top"/>
    </xf>
    <xf numFmtId="169" fontId="2" fillId="8" borderId="27" xfId="0" applyNumberFormat="1" applyFont="1" applyFill="1" applyBorder="1" applyAlignment="1">
      <alignment horizontal="left" vertical="top"/>
    </xf>
    <xf numFmtId="169" fontId="2" fillId="8" borderId="27" xfId="0" applyNumberFormat="1" applyFont="1" applyFill="1" applyBorder="1" applyAlignment="1">
      <alignment horizontal="right" vertical="top"/>
    </xf>
    <xf numFmtId="169" fontId="2" fillId="8" borderId="8" xfId="0" applyNumberFormat="1" applyFont="1" applyFill="1" applyBorder="1" applyAlignment="1">
      <alignment horizontal="left" vertical="top"/>
    </xf>
    <xf numFmtId="169" fontId="2" fillId="8" borderId="8" xfId="0" applyNumberFormat="1" applyFont="1" applyFill="1" applyBorder="1" applyAlignment="1">
      <alignment horizontal="right" vertical="top"/>
    </xf>
    <xf numFmtId="169" fontId="6" fillId="8" borderId="0" xfId="0" applyNumberFormat="1" applyFont="1" applyFill="1" applyAlignment="1">
      <alignment horizontal="right" vertical="top"/>
    </xf>
    <xf numFmtId="169" fontId="2" fillId="8" borderId="9" xfId="0" applyNumberFormat="1" applyFont="1" applyFill="1" applyBorder="1" applyAlignment="1">
      <alignment horizontal="right" vertical="top"/>
    </xf>
    <xf numFmtId="169" fontId="2" fillId="8" borderId="0" xfId="0" applyNumberFormat="1" applyFont="1" applyFill="1" applyAlignment="1">
      <alignment horizontal="left" vertical="top"/>
    </xf>
    <xf numFmtId="169" fontId="2" fillId="8" borderId="9" xfId="0" applyNumberFormat="1" applyFont="1" applyFill="1" applyBorder="1" applyAlignment="1">
      <alignment horizontal="left" vertical="top"/>
    </xf>
    <xf numFmtId="169" fontId="2" fillId="8" borderId="0" xfId="0" applyNumberFormat="1" applyFont="1" applyFill="1" applyAlignment="1">
      <alignment horizontal="right" vertical="top"/>
    </xf>
    <xf numFmtId="169" fontId="9" fillId="8" borderId="9" xfId="0" applyNumberFormat="1" applyFont="1" applyFill="1" applyBorder="1" applyAlignment="1">
      <alignment horizontal="left" vertical="top"/>
    </xf>
    <xf numFmtId="169" fontId="9" fillId="8" borderId="9" xfId="0" applyNumberFormat="1" applyFont="1" applyFill="1" applyBorder="1" applyAlignment="1">
      <alignment horizontal="right" vertical="top"/>
    </xf>
    <xf numFmtId="167" fontId="2" fillId="8" borderId="8" xfId="2" applyNumberFormat="1" applyFont="1" applyFill="1" applyBorder="1" applyAlignment="1">
      <alignment horizontal="right" vertical="top"/>
    </xf>
    <xf numFmtId="167" fontId="24" fillId="8" borderId="0" xfId="2" applyNumberFormat="1" applyFont="1" applyFill="1" applyAlignment="1">
      <alignment horizontal="right" vertical="top"/>
    </xf>
    <xf numFmtId="1" fontId="52" fillId="10" borderId="2" xfId="2" applyNumberFormat="1" applyFont="1" applyFill="1" applyBorder="1" applyAlignment="1">
      <alignment horizontal="right"/>
    </xf>
    <xf numFmtId="1" fontId="52" fillId="10" borderId="2" xfId="0" applyNumberFormat="1" applyFont="1" applyFill="1" applyBorder="1" applyAlignment="1">
      <alignment horizontal="center"/>
    </xf>
    <xf numFmtId="169" fontId="51" fillId="11" borderId="4" xfId="2" applyNumberFormat="1" applyFont="1" applyFill="1" applyBorder="1" applyAlignment="1">
      <alignment horizontal="left"/>
    </xf>
    <xf numFmtId="169" fontId="51" fillId="11" borderId="5" xfId="2" applyNumberFormat="1" applyFont="1" applyFill="1" applyBorder="1" applyAlignment="1">
      <alignment horizontal="left"/>
    </xf>
    <xf numFmtId="169" fontId="51" fillId="11" borderId="1" xfId="0" applyNumberFormat="1" applyFont="1" applyFill="1" applyBorder="1" applyAlignment="1">
      <alignment horizontal="left"/>
    </xf>
    <xf numFmtId="169" fontId="59" fillId="11" borderId="1" xfId="0" applyNumberFormat="1" applyFont="1" applyFill="1" applyBorder="1" applyAlignment="1">
      <alignment horizontal="center"/>
    </xf>
    <xf numFmtId="169" fontId="62" fillId="11" borderId="0" xfId="0" applyNumberFormat="1" applyFont="1" applyFill="1" applyAlignment="1">
      <alignment horizontal="center"/>
    </xf>
    <xf numFmtId="169" fontId="53" fillId="11" borderId="1" xfId="0" applyNumberFormat="1" applyFont="1" applyFill="1" applyBorder="1" applyAlignment="1">
      <alignment horizontal="left"/>
    </xf>
    <xf numFmtId="169" fontId="57" fillId="11" borderId="1" xfId="0" applyNumberFormat="1" applyFont="1" applyFill="1" applyBorder="1" applyAlignment="1">
      <alignment horizontal="center"/>
    </xf>
    <xf numFmtId="169" fontId="63" fillId="11" borderId="5" xfId="2" applyNumberFormat="1" applyFont="1" applyFill="1" applyBorder="1" applyAlignment="1">
      <alignment horizontal="left"/>
    </xf>
    <xf numFmtId="169" fontId="63" fillId="11" borderId="0" xfId="2" applyNumberFormat="1" applyFont="1" applyFill="1" applyBorder="1" applyAlignment="1">
      <alignment horizontal="left"/>
    </xf>
    <xf numFmtId="169" fontId="58" fillId="11" borderId="1" xfId="0" applyNumberFormat="1" applyFont="1" applyFill="1" applyBorder="1" applyAlignment="1">
      <alignment horizontal="center"/>
    </xf>
    <xf numFmtId="166" fontId="51" fillId="0" borderId="0" xfId="2" applyNumberFormat="1" applyFont="1"/>
    <xf numFmtId="166" fontId="56" fillId="9" borderId="0" xfId="2" applyNumberFormat="1" applyFont="1" applyFill="1" applyAlignment="1">
      <alignment horizontal="left" indent="1"/>
    </xf>
    <xf numFmtId="43" fontId="58" fillId="8" borderId="0" xfId="2" applyFont="1" applyFill="1" applyAlignment="1">
      <alignment horizontal="left" indent="1"/>
    </xf>
    <xf numFmtId="43" fontId="58" fillId="8" borderId="0" xfId="2" applyFont="1" applyFill="1" applyAlignment="1">
      <alignment horizontal="left"/>
    </xf>
    <xf numFmtId="9" fontId="51" fillId="8" borderId="0" xfId="1" applyFont="1" applyFill="1" applyAlignment="1">
      <alignment horizontal="right"/>
    </xf>
    <xf numFmtId="9" fontId="53" fillId="8" borderId="7" xfId="1" applyFont="1" applyFill="1" applyBorder="1" applyAlignment="1">
      <alignment horizontal="right"/>
    </xf>
    <xf numFmtId="9" fontId="51" fillId="0" borderId="0" xfId="1" applyFont="1" applyAlignment="1">
      <alignment horizontal="right"/>
    </xf>
    <xf numFmtId="9" fontId="51" fillId="11" borderId="0" xfId="1" applyFont="1" applyFill="1" applyAlignment="1">
      <alignment horizontal="right"/>
    </xf>
    <xf numFmtId="9" fontId="53" fillId="11" borderId="7" xfId="1" applyFont="1" applyFill="1" applyBorder="1" applyAlignment="1">
      <alignment horizontal="right"/>
    </xf>
    <xf numFmtId="168" fontId="51" fillId="11" borderId="0" xfId="1" applyNumberFormat="1" applyFont="1" applyFill="1" applyBorder="1" applyAlignment="1">
      <alignment horizontal="right"/>
    </xf>
    <xf numFmtId="168" fontId="51" fillId="11" borderId="2" xfId="1" applyNumberFormat="1" applyFont="1" applyFill="1" applyBorder="1" applyAlignment="1">
      <alignment horizontal="right"/>
    </xf>
    <xf numFmtId="168" fontId="53" fillId="11" borderId="0" xfId="1" applyNumberFormat="1" applyFont="1" applyFill="1" applyBorder="1" applyAlignment="1">
      <alignment horizontal="right"/>
    </xf>
    <xf numFmtId="168" fontId="51" fillId="0" borderId="0" xfId="1" applyNumberFormat="1" applyFont="1" applyAlignment="1">
      <alignment horizontal="right"/>
    </xf>
    <xf numFmtId="168" fontId="51" fillId="15" borderId="0" xfId="1" applyNumberFormat="1" applyFont="1" applyFill="1" applyBorder="1" applyAlignment="1">
      <alignment horizontal="right"/>
    </xf>
    <xf numFmtId="168" fontId="51" fillId="15" borderId="2" xfId="1" applyNumberFormat="1" applyFont="1" applyFill="1" applyBorder="1" applyAlignment="1">
      <alignment horizontal="right"/>
    </xf>
    <xf numFmtId="168" fontId="53" fillId="15" borderId="0" xfId="1" applyNumberFormat="1" applyFont="1" applyFill="1" applyBorder="1" applyAlignment="1">
      <alignment horizontal="right"/>
    </xf>
    <xf numFmtId="167" fontId="51" fillId="8" borderId="0" xfId="2" applyNumberFormat="1" applyFont="1" applyFill="1" applyAlignment="1">
      <alignment horizontal="right"/>
    </xf>
    <xf numFmtId="167" fontId="51" fillId="8" borderId="0" xfId="2" applyNumberFormat="1" applyFont="1" applyFill="1" applyBorder="1" applyAlignment="1">
      <alignment horizontal="right"/>
    </xf>
    <xf numFmtId="167" fontId="58" fillId="11" borderId="0" xfId="2" applyNumberFormat="1" applyFont="1" applyFill="1" applyBorder="1" applyAlignment="1">
      <alignment horizontal="right"/>
    </xf>
    <xf numFmtId="167" fontId="62" fillId="11" borderId="0" xfId="2" applyNumberFormat="1" applyFont="1" applyFill="1" applyAlignment="1">
      <alignment horizontal="right"/>
    </xf>
    <xf numFmtId="167" fontId="51" fillId="11" borderId="0" xfId="2" applyNumberFormat="1" applyFont="1" applyFill="1" applyBorder="1" applyAlignment="1">
      <alignment horizontal="right"/>
    </xf>
    <xf numFmtId="167" fontId="58" fillId="11" borderId="38" xfId="2" applyNumberFormat="1" applyFont="1" applyFill="1" applyBorder="1" applyAlignment="1">
      <alignment horizontal="right"/>
    </xf>
    <xf numFmtId="167" fontId="57" fillId="11" borderId="4" xfId="2" applyNumberFormat="1" applyFont="1" applyFill="1" applyBorder="1" applyAlignment="1">
      <alignment horizontal="right"/>
    </xf>
    <xf numFmtId="167" fontId="51" fillId="11" borderId="5" xfId="2" applyNumberFormat="1" applyFont="1" applyFill="1" applyBorder="1" applyAlignment="1">
      <alignment horizontal="right"/>
    </xf>
    <xf numFmtId="167" fontId="53" fillId="11" borderId="1" xfId="2" applyNumberFormat="1" applyFont="1" applyFill="1" applyBorder="1" applyAlignment="1">
      <alignment horizontal="right"/>
    </xf>
    <xf numFmtId="167" fontId="53" fillId="11" borderId="0" xfId="2" applyNumberFormat="1" applyFont="1" applyFill="1" applyAlignment="1">
      <alignment horizontal="right"/>
    </xf>
    <xf numFmtId="166" fontId="79" fillId="18" borderId="0" xfId="2" applyNumberFormat="1" applyFont="1" applyFill="1" applyAlignment="1">
      <alignment horizontal="center"/>
    </xf>
    <xf numFmtId="167" fontId="25" fillId="11" borderId="4" xfId="2" applyNumberFormat="1" applyFont="1" applyFill="1" applyBorder="1" applyAlignment="1">
      <alignment vertical="top"/>
    </xf>
    <xf numFmtId="167" fontId="3" fillId="0" borderId="0" xfId="2" applyNumberFormat="1" applyFont="1" applyAlignment="1">
      <alignment vertical="top"/>
    </xf>
    <xf numFmtId="167" fontId="25" fillId="8" borderId="4" xfId="2" applyNumberFormat="1" applyFont="1" applyFill="1" applyBorder="1" applyAlignment="1">
      <alignment horizontal="right" vertical="top"/>
    </xf>
    <xf numFmtId="167" fontId="25" fillId="11" borderId="4" xfId="2" applyNumberFormat="1" applyFont="1" applyFill="1" applyBorder="1" applyAlignment="1">
      <alignment horizontal="right" vertical="top"/>
    </xf>
    <xf numFmtId="167" fontId="25" fillId="11" borderId="5" xfId="2" applyNumberFormat="1" applyFont="1" applyFill="1" applyBorder="1" applyAlignment="1">
      <alignment vertical="top"/>
    </xf>
    <xf numFmtId="167" fontId="26" fillId="11" borderId="0" xfId="2" applyNumberFormat="1" applyFont="1" applyFill="1" applyAlignment="1">
      <alignment vertical="top"/>
    </xf>
    <xf numFmtId="167" fontId="15" fillId="6" borderId="0" xfId="2" applyNumberFormat="1" applyFont="1" applyFill="1" applyAlignment="1">
      <alignment horizontal="centerContinuous" vertical="top"/>
    </xf>
    <xf numFmtId="167" fontId="15" fillId="6" borderId="0" xfId="2" applyNumberFormat="1" applyFont="1" applyFill="1" applyAlignment="1">
      <alignment horizontal="right" vertical="top" wrapText="1"/>
    </xf>
    <xf numFmtId="167" fontId="2" fillId="0" borderId="0" xfId="2" applyNumberFormat="1" applyFont="1" applyAlignment="1">
      <alignment vertical="top"/>
    </xf>
    <xf numFmtId="167" fontId="25" fillId="11" borderId="1" xfId="2" applyNumberFormat="1" applyFont="1" applyFill="1" applyBorder="1" applyAlignment="1">
      <alignment vertical="top"/>
    </xf>
    <xf numFmtId="167" fontId="25" fillId="11" borderId="0" xfId="2" applyNumberFormat="1" applyFont="1" applyFill="1" applyAlignment="1">
      <alignment vertical="top"/>
    </xf>
    <xf numFmtId="167" fontId="26" fillId="11" borderId="1" xfId="2" applyNumberFormat="1" applyFont="1" applyFill="1" applyBorder="1" applyAlignment="1">
      <alignment vertical="top"/>
    </xf>
    <xf numFmtId="167" fontId="19" fillId="0" borderId="0" xfId="2" applyNumberFormat="1" applyFont="1" applyAlignment="1">
      <alignment horizontal="left" vertical="top"/>
    </xf>
    <xf numFmtId="167" fontId="3" fillId="3" borderId="0" xfId="2" applyNumberFormat="1" applyFont="1" applyFill="1" applyAlignment="1">
      <alignment vertical="top"/>
    </xf>
    <xf numFmtId="167" fontId="25" fillId="11" borderId="8" xfId="2" applyNumberFormat="1" applyFont="1" applyFill="1" applyBorder="1" applyAlignment="1">
      <alignment vertical="top"/>
    </xf>
    <xf numFmtId="167" fontId="26" fillId="11" borderId="10" xfId="2" applyNumberFormat="1" applyFont="1" applyFill="1" applyBorder="1" applyAlignment="1">
      <alignment vertical="top"/>
    </xf>
    <xf numFmtId="167" fontId="3" fillId="0" borderId="0" xfId="2" applyNumberFormat="1" applyFont="1" applyAlignment="1">
      <alignment horizontal="right" vertical="top"/>
    </xf>
    <xf numFmtId="167" fontId="25" fillId="8" borderId="0" xfId="2" applyNumberFormat="1" applyFont="1" applyFill="1" applyAlignment="1">
      <alignment horizontal="right" vertical="top"/>
    </xf>
    <xf numFmtId="167" fontId="25" fillId="11" borderId="9" xfId="2" applyNumberFormat="1" applyFont="1" applyFill="1" applyBorder="1" applyAlignment="1">
      <alignment vertical="top"/>
    </xf>
    <xf numFmtId="167" fontId="26" fillId="11" borderId="11" xfId="2" applyNumberFormat="1" applyFont="1" applyFill="1" applyBorder="1" applyAlignment="1">
      <alignment vertical="top"/>
    </xf>
    <xf numFmtId="167" fontId="3" fillId="8" borderId="0" xfId="2" applyNumberFormat="1" applyFont="1" applyFill="1" applyAlignment="1">
      <alignment vertical="top"/>
    </xf>
    <xf numFmtId="167" fontId="25" fillId="8" borderId="0" xfId="2" applyNumberFormat="1" applyFont="1" applyFill="1"/>
    <xf numFmtId="168" fontId="3" fillId="0" borderId="0" xfId="1" applyNumberFormat="1" applyFont="1"/>
    <xf numFmtId="167" fontId="51" fillId="8" borderId="0" xfId="2" applyNumberFormat="1" applyFont="1" applyFill="1" applyBorder="1" applyAlignment="1">
      <alignment horizontal="center"/>
    </xf>
    <xf numFmtId="167" fontId="51" fillId="8" borderId="2" xfId="2" applyNumberFormat="1" applyFont="1" applyFill="1" applyBorder="1" applyAlignment="1">
      <alignment horizontal="center"/>
    </xf>
    <xf numFmtId="167" fontId="51" fillId="8" borderId="2" xfId="2" applyNumberFormat="1" applyFont="1" applyFill="1" applyBorder="1" applyAlignment="1">
      <alignment horizontal="right"/>
    </xf>
    <xf numFmtId="167" fontId="53" fillId="8" borderId="0" xfId="2" applyNumberFormat="1" applyFont="1" applyFill="1" applyBorder="1" applyAlignment="1">
      <alignment horizontal="right"/>
    </xf>
    <xf numFmtId="167" fontId="56" fillId="18" borderId="0" xfId="2" applyNumberFormat="1" applyFont="1" applyFill="1" applyAlignment="1">
      <alignment horizontal="left"/>
    </xf>
    <xf numFmtId="167" fontId="58" fillId="11" borderId="5" xfId="2" applyNumberFormat="1" applyFont="1" applyFill="1" applyBorder="1" applyAlignment="1">
      <alignment horizontal="right"/>
    </xf>
    <xf numFmtId="167" fontId="58" fillId="11" borderId="39" xfId="2" applyNumberFormat="1" applyFont="1" applyFill="1" applyBorder="1" applyAlignment="1">
      <alignment horizontal="right"/>
    </xf>
    <xf numFmtId="167" fontId="57" fillId="11" borderId="0" xfId="2" applyNumberFormat="1" applyFont="1" applyFill="1" applyAlignment="1">
      <alignment horizontal="right"/>
    </xf>
    <xf numFmtId="167" fontId="57" fillId="11" borderId="1" xfId="2" applyNumberFormat="1" applyFont="1" applyFill="1" applyBorder="1" applyAlignment="1">
      <alignment horizontal="right"/>
    </xf>
    <xf numFmtId="167" fontId="51" fillId="11" borderId="4" xfId="2" applyNumberFormat="1" applyFont="1" applyFill="1" applyBorder="1" applyAlignment="1">
      <alignment horizontal="right"/>
    </xf>
    <xf numFmtId="167" fontId="63" fillId="11" borderId="0" xfId="2" applyNumberFormat="1" applyFont="1" applyFill="1"/>
    <xf numFmtId="167" fontId="53" fillId="11" borderId="7" xfId="2" applyNumberFormat="1" applyFont="1" applyFill="1" applyBorder="1" applyAlignment="1">
      <alignment horizontal="right"/>
    </xf>
    <xf numFmtId="167" fontId="56" fillId="9" borderId="0" xfId="2" applyNumberFormat="1" applyFont="1" applyFill="1" applyAlignment="1">
      <alignment horizontal="left"/>
    </xf>
    <xf numFmtId="167" fontId="51" fillId="11" borderId="0" xfId="2" applyNumberFormat="1" applyFont="1" applyFill="1" applyBorder="1" applyAlignment="1">
      <alignment horizontal="left" indent="1"/>
    </xf>
    <xf numFmtId="167" fontId="51" fillId="11" borderId="2" xfId="2" applyNumberFormat="1" applyFont="1" applyFill="1" applyBorder="1" applyAlignment="1">
      <alignment horizontal="left" indent="1"/>
    </xf>
    <xf numFmtId="167" fontId="53" fillId="11" borderId="7" xfId="2" applyNumberFormat="1" applyFont="1" applyFill="1" applyBorder="1"/>
    <xf numFmtId="167" fontId="53" fillId="11" borderId="0" xfId="2" applyNumberFormat="1" applyFont="1" applyFill="1" applyBorder="1" applyAlignment="1">
      <alignment horizontal="left" indent="1"/>
    </xf>
    <xf numFmtId="167" fontId="82" fillId="11" borderId="0" xfId="2" applyNumberFormat="1" applyFont="1" applyFill="1" applyAlignment="1">
      <alignment horizontal="right"/>
    </xf>
    <xf numFmtId="167" fontId="83" fillId="11" borderId="7" xfId="2" applyNumberFormat="1" applyFont="1" applyFill="1" applyBorder="1" applyAlignment="1">
      <alignment horizontal="right"/>
    </xf>
    <xf numFmtId="167" fontId="58" fillId="0" borderId="0" xfId="2" applyNumberFormat="1" applyFont="1"/>
    <xf numFmtId="167" fontId="51" fillId="3" borderId="0" xfId="2" applyNumberFormat="1" applyFont="1" applyFill="1"/>
    <xf numFmtId="167" fontId="53" fillId="0" borderId="0" xfId="2" applyNumberFormat="1" applyFont="1"/>
    <xf numFmtId="167" fontId="53" fillId="0" borderId="0" xfId="2" applyNumberFormat="1" applyFont="1" applyAlignment="1">
      <alignment horizontal="right"/>
    </xf>
    <xf numFmtId="167" fontId="53" fillId="3" borderId="0" xfId="2" applyNumberFormat="1" applyFont="1" applyFill="1"/>
    <xf numFmtId="9" fontId="63" fillId="8" borderId="0" xfId="1" applyFont="1" applyFill="1" applyAlignment="1">
      <alignment horizontal="right"/>
    </xf>
    <xf numFmtId="168" fontId="63" fillId="8" borderId="0" xfId="1" applyNumberFormat="1" applyFont="1" applyFill="1" applyAlignment="1">
      <alignment horizontal="right"/>
    </xf>
    <xf numFmtId="168" fontId="63" fillId="8" borderId="0" xfId="1" applyNumberFormat="1" applyFont="1" applyFill="1" applyAlignment="1">
      <alignment horizontal="right" vertical="center"/>
    </xf>
    <xf numFmtId="1" fontId="3" fillId="0" borderId="0" xfId="0" applyNumberFormat="1" applyFont="1"/>
    <xf numFmtId="1" fontId="1" fillId="0" borderId="0" xfId="0" applyNumberFormat="1" applyFont="1" applyAlignment="1">
      <alignment horizontal="right"/>
    </xf>
    <xf numFmtId="1" fontId="79" fillId="18" borderId="0" xfId="2" applyNumberFormat="1" applyFont="1" applyFill="1" applyAlignment="1">
      <alignment horizontal="center"/>
    </xf>
    <xf numFmtId="1" fontId="52" fillId="10" borderId="2" xfId="0" applyNumberFormat="1" applyFont="1" applyFill="1" applyBorder="1" applyAlignment="1">
      <alignment horizontal="right"/>
    </xf>
    <xf numFmtId="169" fontId="51" fillId="8" borderId="2" xfId="0" applyNumberFormat="1" applyFont="1" applyFill="1" applyBorder="1" applyAlignment="1">
      <alignment horizontal="left"/>
    </xf>
    <xf numFmtId="169" fontId="51" fillId="8" borderId="2" xfId="0" applyNumberFormat="1" applyFont="1" applyFill="1" applyBorder="1"/>
    <xf numFmtId="169" fontId="52" fillId="10" borderId="2" xfId="0" applyNumberFormat="1" applyFont="1" applyFill="1" applyBorder="1" applyAlignment="1">
      <alignment horizontal="left"/>
    </xf>
    <xf numFmtId="9" fontId="63" fillId="8" borderId="2" xfId="1" applyFont="1" applyFill="1" applyBorder="1" applyAlignment="1">
      <alignment horizontal="right"/>
    </xf>
    <xf numFmtId="9" fontId="67" fillId="8" borderId="0" xfId="1" applyFont="1" applyFill="1" applyAlignment="1">
      <alignment horizontal="right"/>
    </xf>
    <xf numFmtId="167" fontId="51" fillId="19" borderId="0" xfId="2" applyNumberFormat="1" applyFont="1" applyFill="1" applyAlignment="1">
      <alignment horizontal="right"/>
    </xf>
    <xf numFmtId="167" fontId="51" fillId="15" borderId="0" xfId="2" applyNumberFormat="1" applyFont="1" applyFill="1" applyAlignment="1">
      <alignment horizontal="right"/>
    </xf>
    <xf numFmtId="167" fontId="51" fillId="15" borderId="2" xfId="2" applyNumberFormat="1" applyFont="1" applyFill="1" applyBorder="1" applyAlignment="1">
      <alignment horizontal="right"/>
    </xf>
    <xf numFmtId="167" fontId="53" fillId="15" borderId="0" xfId="2" applyNumberFormat="1" applyFont="1" applyFill="1" applyAlignment="1">
      <alignment horizontal="right"/>
    </xf>
    <xf numFmtId="167" fontId="51" fillId="19" borderId="2" xfId="2" applyNumberFormat="1" applyFont="1" applyFill="1" applyBorder="1" applyAlignment="1">
      <alignment horizontal="right"/>
    </xf>
    <xf numFmtId="167" fontId="53" fillId="19" borderId="0" xfId="2" applyNumberFormat="1" applyFont="1" applyFill="1" applyAlignment="1">
      <alignment horizontal="right"/>
    </xf>
    <xf numFmtId="167" fontId="51" fillId="0" borderId="0" xfId="2" applyNumberFormat="1" applyFont="1" applyAlignment="1">
      <alignment vertical="center"/>
    </xf>
    <xf numFmtId="169" fontId="3" fillId="8" borderId="2" xfId="0" applyNumberFormat="1" applyFont="1" applyFill="1" applyBorder="1" applyAlignment="1">
      <alignment vertical="top"/>
    </xf>
    <xf numFmtId="169" fontId="3" fillId="8" borderId="2" xfId="0" applyNumberFormat="1" applyFont="1" applyFill="1" applyBorder="1" applyAlignment="1">
      <alignment horizontal="center" vertical="top"/>
    </xf>
    <xf numFmtId="167" fontId="3" fillId="8" borderId="2" xfId="2" applyNumberFormat="1" applyFont="1" applyFill="1" applyBorder="1" applyAlignment="1">
      <alignment vertical="top"/>
    </xf>
    <xf numFmtId="167" fontId="3" fillId="8" borderId="0" xfId="2" applyNumberFormat="1" applyFont="1" applyFill="1" applyAlignment="1">
      <alignment horizontal="right"/>
    </xf>
    <xf numFmtId="167" fontId="3" fillId="0" borderId="0" xfId="2" applyNumberFormat="1" applyFont="1" applyAlignment="1">
      <alignment horizontal="right"/>
    </xf>
    <xf numFmtId="167" fontId="3" fillId="8" borderId="2" xfId="2" applyNumberFormat="1" applyFont="1" applyFill="1" applyBorder="1" applyAlignment="1">
      <alignment horizontal="right"/>
    </xf>
    <xf numFmtId="167" fontId="32" fillId="8" borderId="0" xfId="2" applyNumberFormat="1" applyFont="1" applyFill="1" applyAlignment="1">
      <alignment horizontal="right"/>
    </xf>
    <xf numFmtId="168" fontId="3" fillId="8" borderId="0" xfId="1" applyNumberFormat="1" applyFont="1" applyFill="1" applyAlignment="1">
      <alignment horizontal="right"/>
    </xf>
    <xf numFmtId="169" fontId="3" fillId="8" borderId="2" xfId="0" applyNumberFormat="1" applyFont="1" applyFill="1" applyBorder="1"/>
    <xf numFmtId="169" fontId="32" fillId="8" borderId="0" xfId="0" applyNumberFormat="1" applyFont="1" applyFill="1"/>
    <xf numFmtId="169" fontId="3" fillId="8" borderId="2" xfId="0" quotePrefix="1" applyNumberFormat="1" applyFont="1" applyFill="1" applyBorder="1"/>
    <xf numFmtId="169" fontId="1" fillId="0" borderId="20" xfId="0" applyNumberFormat="1" applyFont="1" applyBorder="1" applyAlignment="1">
      <alignment horizontal="right" vertical="center"/>
    </xf>
    <xf numFmtId="170" fontId="1" fillId="0" borderId="20" xfId="0" applyNumberFormat="1" applyFont="1" applyBorder="1" applyAlignment="1">
      <alignment horizontal="right" vertical="center"/>
    </xf>
    <xf numFmtId="169" fontId="2" fillId="0" borderId="20" xfId="0" applyNumberFormat="1" applyFont="1" applyBorder="1" applyAlignment="1">
      <alignment horizontal="right" vertical="center"/>
    </xf>
    <xf numFmtId="171" fontId="3" fillId="0" borderId="0" xfId="0" applyNumberFormat="1" applyFont="1"/>
    <xf numFmtId="167" fontId="40" fillId="24" borderId="0" xfId="2" applyNumberFormat="1" applyFont="1" applyFill="1"/>
    <xf numFmtId="167" fontId="40" fillId="24" borderId="2" xfId="2" applyNumberFormat="1" applyFont="1" applyFill="1" applyBorder="1"/>
    <xf numFmtId="169" fontId="36" fillId="25" borderId="0" xfId="0" applyNumberFormat="1" applyFont="1" applyFill="1" applyAlignment="1">
      <alignment horizontal="right" vertical="top" wrapText="1"/>
    </xf>
    <xf numFmtId="1" fontId="36" fillId="25" borderId="0" xfId="3" applyNumberFormat="1" applyFont="1" applyFill="1" applyAlignment="1">
      <alignment horizontal="right"/>
    </xf>
    <xf numFmtId="169" fontId="36" fillId="25" borderId="0" xfId="3" applyNumberFormat="1" applyFont="1" applyFill="1" applyAlignment="1">
      <alignment horizontal="right"/>
    </xf>
    <xf numFmtId="169" fontId="92" fillId="25" borderId="0" xfId="3" applyNumberFormat="1" applyFont="1" applyFill="1" applyAlignment="1">
      <alignment horizontal="right"/>
    </xf>
    <xf numFmtId="167" fontId="40" fillId="26" borderId="0" xfId="2" applyNumberFormat="1" applyFont="1" applyFill="1"/>
    <xf numFmtId="169" fontId="94" fillId="0" borderId="0" xfId="0" applyNumberFormat="1" applyFont="1"/>
    <xf numFmtId="167" fontId="38" fillId="23" borderId="0" xfId="2" applyNumberFormat="1" applyFont="1" applyFill="1"/>
    <xf numFmtId="167" fontId="40" fillId="23" borderId="2" xfId="2" applyNumberFormat="1" applyFont="1" applyFill="1" applyBorder="1"/>
    <xf numFmtId="167" fontId="39" fillId="23" borderId="0" xfId="2" applyNumberFormat="1" applyFont="1" applyFill="1"/>
    <xf numFmtId="167" fontId="38" fillId="27" borderId="0" xfId="2" applyNumberFormat="1" applyFont="1" applyFill="1"/>
    <xf numFmtId="167" fontId="40" fillId="27" borderId="0" xfId="2" applyNumberFormat="1" applyFont="1" applyFill="1"/>
    <xf numFmtId="167" fontId="40" fillId="27" borderId="2" xfId="2" applyNumberFormat="1" applyFont="1" applyFill="1" applyBorder="1"/>
    <xf numFmtId="167" fontId="39" fillId="27" borderId="0" xfId="2" applyNumberFormat="1" applyFont="1" applyFill="1"/>
    <xf numFmtId="167" fontId="43" fillId="18" borderId="0" xfId="2" applyNumberFormat="1" applyFont="1" applyFill="1"/>
    <xf numFmtId="167" fontId="43" fillId="15" borderId="0" xfId="2" applyNumberFormat="1" applyFont="1" applyFill="1"/>
    <xf numFmtId="167" fontId="38" fillId="23" borderId="2" xfId="2" applyNumberFormat="1" applyFont="1" applyFill="1" applyBorder="1"/>
    <xf numFmtId="164" fontId="38" fillId="14" borderId="2" xfId="3" applyNumberFormat="1" applyFont="1" applyFill="1" applyBorder="1"/>
    <xf numFmtId="169" fontId="2" fillId="0" borderId="52" xfId="0" applyNumberFormat="1" applyFont="1" applyBorder="1" applyAlignment="1">
      <alignment horizontal="left" vertical="center"/>
    </xf>
    <xf numFmtId="169" fontId="2" fillId="0" borderId="48" xfId="0" applyNumberFormat="1" applyFont="1" applyBorder="1" applyAlignment="1">
      <alignment horizontal="left" vertical="center"/>
    </xf>
    <xf numFmtId="4" fontId="1" fillId="2" borderId="0" xfId="0" applyNumberFormat="1" applyFont="1" applyFill="1"/>
    <xf numFmtId="4" fontId="1" fillId="2" borderId="0" xfId="0" applyNumberFormat="1" applyFont="1" applyFill="1" applyAlignment="1">
      <alignment horizontal="center"/>
    </xf>
    <xf numFmtId="4" fontId="1" fillId="2" borderId="2" xfId="0" applyNumberFormat="1" applyFont="1" applyFill="1" applyBorder="1"/>
    <xf numFmtId="4" fontId="1" fillId="2" borderId="2" xfId="0" applyNumberFormat="1" applyFont="1" applyFill="1" applyBorder="1" applyAlignment="1">
      <alignment horizontal="center"/>
    </xf>
    <xf numFmtId="4" fontId="2" fillId="0" borderId="4" xfId="0" applyNumberFormat="1" applyFont="1" applyBorder="1" applyAlignment="1">
      <alignment vertical="top"/>
    </xf>
    <xf numFmtId="4" fontId="2" fillId="0" borderId="5" xfId="0" applyNumberFormat="1" applyFont="1" applyBorder="1" applyAlignment="1">
      <alignment horizontal="center" vertical="top"/>
    </xf>
    <xf numFmtId="4" fontId="2" fillId="0" borderId="5" xfId="0" applyNumberFormat="1" applyFont="1" applyBorder="1" applyAlignment="1">
      <alignment vertical="top"/>
    </xf>
    <xf numFmtId="4" fontId="1" fillId="0" borderId="0" xfId="0" applyNumberFormat="1" applyFont="1" applyAlignment="1">
      <alignment vertical="top"/>
    </xf>
    <xf numFmtId="4" fontId="1" fillId="0" borderId="0" xfId="0" applyNumberFormat="1" applyFont="1" applyAlignment="1">
      <alignment horizontal="center" vertical="top"/>
    </xf>
    <xf numFmtId="4" fontId="2" fillId="0" borderId="8" xfId="0" applyNumberFormat="1" applyFont="1" applyBorder="1" applyAlignment="1">
      <alignment horizontal="center" vertical="top" wrapText="1"/>
    </xf>
    <xf numFmtId="4" fontId="2" fillId="0" borderId="8" xfId="0" applyNumberFormat="1" applyFont="1" applyBorder="1" applyAlignment="1">
      <alignment vertical="top"/>
    </xf>
    <xf numFmtId="4" fontId="15" fillId="6" borderId="0" xfId="2" applyNumberFormat="1" applyFont="1" applyFill="1" applyAlignment="1">
      <alignment horizontal="centerContinuous" vertical="top" wrapText="1"/>
    </xf>
    <xf numFmtId="4" fontId="19" fillId="6" borderId="0" xfId="2" applyNumberFormat="1" applyFont="1" applyFill="1" applyAlignment="1">
      <alignment horizontal="centerContinuous" vertical="top"/>
    </xf>
    <xf numFmtId="4" fontId="2" fillId="0" borderId="4" xfId="0" applyNumberFormat="1" applyFont="1" applyBorder="1" applyAlignment="1">
      <alignment horizontal="center" vertical="top"/>
    </xf>
    <xf numFmtId="4" fontId="1" fillId="0" borderId="4" xfId="0" applyNumberFormat="1" applyFont="1" applyBorder="1" applyAlignment="1">
      <alignment vertical="top"/>
    </xf>
    <xf numFmtId="4" fontId="2" fillId="0" borderId="1" xfId="0" applyNumberFormat="1" applyFont="1" applyBorder="1" applyAlignment="1">
      <alignment vertical="top"/>
    </xf>
    <xf numFmtId="4" fontId="1" fillId="0" borderId="4" xfId="0" applyNumberFormat="1" applyFont="1" applyBorder="1" applyAlignment="1">
      <alignment horizontal="center" vertical="top"/>
    </xf>
    <xf numFmtId="4" fontId="2" fillId="0" borderId="9" xfId="0" applyNumberFormat="1" applyFont="1" applyBorder="1" applyAlignment="1">
      <alignment horizontal="left" vertical="top" wrapText="1"/>
    </xf>
    <xf numFmtId="4" fontId="2" fillId="0" borderId="9" xfId="0" applyNumberFormat="1" applyFont="1" applyBorder="1" applyAlignment="1">
      <alignment horizontal="center" vertical="top" wrapText="1"/>
    </xf>
    <xf numFmtId="4" fontId="1" fillId="0" borderId="10" xfId="0" applyNumberFormat="1" applyFont="1" applyBorder="1" applyAlignment="1">
      <alignment vertical="top"/>
    </xf>
    <xf numFmtId="4" fontId="2" fillId="3" borderId="8" xfId="0" applyNumberFormat="1" applyFont="1" applyFill="1" applyBorder="1" applyAlignment="1">
      <alignment horizontal="center" vertical="top"/>
    </xf>
    <xf numFmtId="4" fontId="1" fillId="0" borderId="11" xfId="0" applyNumberFormat="1" applyFont="1" applyBorder="1" applyAlignment="1">
      <alignment horizontal="left" vertical="top"/>
    </xf>
    <xf numFmtId="4" fontId="1" fillId="0" borderId="8" xfId="0" applyNumberFormat="1" applyFont="1" applyBorder="1" applyAlignment="1">
      <alignment horizontal="center" vertical="top" wrapText="1"/>
    </xf>
    <xf numFmtId="4" fontId="1" fillId="0" borderId="26" xfId="0" applyNumberFormat="1" applyFont="1" applyBorder="1" applyAlignment="1">
      <alignment horizontal="left" vertical="top"/>
    </xf>
    <xf numFmtId="172" fontId="2" fillId="4" borderId="4" xfId="2" applyNumberFormat="1" applyFont="1" applyFill="1" applyBorder="1" applyAlignment="1">
      <alignment horizontal="right" vertical="top"/>
    </xf>
    <xf numFmtId="172" fontId="2" fillId="0" borderId="4" xfId="2" applyNumberFormat="1" applyFont="1" applyBorder="1" applyAlignment="1">
      <alignment horizontal="right" vertical="top"/>
    </xf>
    <xf numFmtId="172" fontId="2" fillId="4" borderId="5" xfId="2" applyNumberFormat="1" applyFont="1" applyFill="1" applyBorder="1" applyAlignment="1">
      <alignment horizontal="right" vertical="top"/>
    </xf>
    <xf numFmtId="172" fontId="2" fillId="0" borderId="5" xfId="2" applyNumberFormat="1" applyFont="1" applyBorder="1" applyAlignment="1">
      <alignment horizontal="right" vertical="top"/>
    </xf>
    <xf numFmtId="165" fontId="2" fillId="4" borderId="4" xfId="2" applyNumberFormat="1" applyFont="1" applyFill="1" applyBorder="1"/>
    <xf numFmtId="165" fontId="2" fillId="3" borderId="4" xfId="2" applyNumberFormat="1" applyFont="1" applyFill="1" applyBorder="1"/>
    <xf numFmtId="165" fontId="2" fillId="20" borderId="4" xfId="2" applyNumberFormat="1" applyFont="1" applyFill="1" applyBorder="1" applyAlignment="1">
      <alignment horizontal="right" vertical="center"/>
    </xf>
    <xf numFmtId="165" fontId="2" fillId="0" borderId="4" xfId="2" applyNumberFormat="1" applyFont="1" applyBorder="1" applyAlignment="1">
      <alignment horizontal="right" vertical="center"/>
    </xf>
    <xf numFmtId="169" fontId="1" fillId="0" borderId="50" xfId="0" applyNumberFormat="1" applyFont="1" applyBorder="1"/>
    <xf numFmtId="165" fontId="2" fillId="22" borderId="51" xfId="2" applyNumberFormat="1" applyFont="1" applyFill="1" applyBorder="1" applyAlignment="1">
      <alignment horizontal="right"/>
    </xf>
    <xf numFmtId="165" fontId="1" fillId="22" borderId="50" xfId="2" applyNumberFormat="1" applyFont="1" applyFill="1" applyBorder="1" applyAlignment="1">
      <alignment horizontal="right"/>
    </xf>
    <xf numFmtId="165" fontId="1" fillId="0" borderId="50" xfId="2" applyNumberFormat="1" applyFont="1" applyBorder="1" applyAlignment="1">
      <alignment horizontal="right"/>
    </xf>
    <xf numFmtId="165" fontId="1" fillId="3" borderId="0" xfId="2" applyNumberFormat="1" applyFont="1" applyFill="1" applyAlignment="1">
      <alignment horizontal="right"/>
    </xf>
    <xf numFmtId="167" fontId="6" fillId="3" borderId="0" xfId="2" applyNumberFormat="1" applyFont="1" applyFill="1" applyBorder="1" applyAlignment="1">
      <alignment horizontal="right"/>
    </xf>
    <xf numFmtId="167" fontId="1" fillId="3" borderId="0" xfId="2" applyNumberFormat="1" applyFont="1" applyFill="1" applyBorder="1" applyAlignment="1">
      <alignment horizontal="right"/>
    </xf>
    <xf numFmtId="169" fontId="45" fillId="3" borderId="0" xfId="0" applyNumberFormat="1" applyFont="1" applyFill="1"/>
    <xf numFmtId="167" fontId="1" fillId="3" borderId="0" xfId="2" applyNumberFormat="1" applyFont="1" applyFill="1" applyAlignment="1">
      <alignment horizontal="center"/>
    </xf>
    <xf numFmtId="1" fontId="1" fillId="3" borderId="0" xfId="2" applyNumberFormat="1" applyFont="1" applyFill="1" applyBorder="1" applyAlignment="1">
      <alignment horizontal="center"/>
    </xf>
    <xf numFmtId="166" fontId="51" fillId="3" borderId="0" xfId="2" applyNumberFormat="1" applyFont="1" applyFill="1"/>
    <xf numFmtId="43" fontId="51" fillId="3" borderId="0" xfId="2" applyFont="1" applyFill="1"/>
    <xf numFmtId="1" fontId="2" fillId="0" borderId="0" xfId="0" applyNumberFormat="1" applyFont="1"/>
    <xf numFmtId="165" fontId="2" fillId="0" borderId="0" xfId="2" applyNumberFormat="1" applyFont="1" applyBorder="1" applyAlignment="1">
      <alignment horizontal="right" vertical="center"/>
    </xf>
    <xf numFmtId="167" fontId="2" fillId="0" borderId="20" xfId="2" applyNumberFormat="1" applyFont="1" applyBorder="1" applyAlignment="1">
      <alignment horizontal="right" vertical="center"/>
    </xf>
    <xf numFmtId="168" fontId="2" fillId="0" borderId="20" xfId="1" applyNumberFormat="1" applyFont="1" applyBorder="1" applyAlignment="1">
      <alignment horizontal="right" vertical="center"/>
    </xf>
    <xf numFmtId="165" fontId="2" fillId="0" borderId="20" xfId="2" applyNumberFormat="1" applyFont="1" applyBorder="1" applyAlignment="1">
      <alignment horizontal="right" vertical="center"/>
    </xf>
    <xf numFmtId="169" fontId="1" fillId="0" borderId="0" xfId="0" applyNumberFormat="1" applyFont="1" applyAlignment="1">
      <alignment horizontal="right" vertical="center"/>
    </xf>
    <xf numFmtId="169" fontId="3" fillId="11" borderId="0" xfId="0" applyNumberFormat="1" applyFont="1" applyFill="1"/>
    <xf numFmtId="167" fontId="3" fillId="8" borderId="0" xfId="2" applyNumberFormat="1" applyFont="1" applyFill="1"/>
    <xf numFmtId="164" fontId="1" fillId="2" borderId="0" xfId="0" applyNumberFormat="1" applyFont="1" applyFill="1" applyAlignment="1">
      <alignment horizontal="right"/>
    </xf>
    <xf numFmtId="164" fontId="2" fillId="4" borderId="4" xfId="2" applyNumberFormat="1" applyFont="1" applyFill="1" applyBorder="1" applyAlignment="1">
      <alignment horizontal="right" vertical="top"/>
    </xf>
    <xf numFmtId="164" fontId="2" fillId="0" borderId="4" xfId="2" applyNumberFormat="1" applyFont="1" applyBorder="1" applyAlignment="1">
      <alignment horizontal="right" vertical="top"/>
    </xf>
    <xf numFmtId="164" fontId="2" fillId="4" borderId="5" xfId="2" applyNumberFormat="1" applyFont="1" applyFill="1" applyBorder="1" applyAlignment="1">
      <alignment horizontal="right" vertical="top"/>
    </xf>
    <xf numFmtId="164" fontId="2" fillId="0" borderId="5" xfId="2" applyNumberFormat="1" applyFont="1" applyBorder="1" applyAlignment="1">
      <alignment horizontal="right" vertical="top"/>
    </xf>
    <xf numFmtId="164" fontId="1" fillId="4" borderId="0" xfId="2" applyNumberFormat="1" applyFont="1" applyFill="1" applyAlignment="1">
      <alignment horizontal="right" vertical="top"/>
    </xf>
    <xf numFmtId="164" fontId="1" fillId="0" borderId="0" xfId="2" applyNumberFormat="1" applyFont="1" applyAlignment="1">
      <alignment horizontal="right" vertical="top"/>
    </xf>
    <xf numFmtId="164" fontId="2" fillId="4" borderId="8" xfId="2" applyNumberFormat="1" applyFont="1" applyFill="1" applyBorder="1" applyAlignment="1">
      <alignment horizontal="right" vertical="top"/>
    </xf>
    <xf numFmtId="164" fontId="2" fillId="0" borderId="8" xfId="2" applyNumberFormat="1" applyFont="1" applyBorder="1" applyAlignment="1">
      <alignment horizontal="right" vertical="top"/>
    </xf>
    <xf numFmtId="164" fontId="15" fillId="6" borderId="0" xfId="2" applyNumberFormat="1" applyFont="1" applyFill="1" applyAlignment="1">
      <alignment horizontal="right" vertical="top"/>
    </xf>
    <xf numFmtId="164" fontId="1" fillId="4" borderId="4" xfId="2" applyNumberFormat="1" applyFont="1" applyFill="1" applyBorder="1" applyAlignment="1">
      <alignment horizontal="right" vertical="top"/>
    </xf>
    <xf numFmtId="164" fontId="1" fillId="0" borderId="4" xfId="2" applyNumberFormat="1" applyFont="1" applyBorder="1" applyAlignment="1">
      <alignment horizontal="right" vertical="top"/>
    </xf>
    <xf numFmtId="164" fontId="2" fillId="4" borderId="1" xfId="2" applyNumberFormat="1" applyFont="1" applyFill="1" applyBorder="1" applyAlignment="1">
      <alignment horizontal="right" vertical="top"/>
    </xf>
    <xf numFmtId="164" fontId="2" fillId="3" borderId="1" xfId="2" applyNumberFormat="1" applyFont="1" applyFill="1" applyBorder="1" applyAlignment="1">
      <alignment horizontal="right" vertical="top"/>
    </xf>
    <xf numFmtId="164" fontId="2" fillId="4" borderId="9" xfId="2" applyNumberFormat="1" applyFont="1" applyFill="1" applyBorder="1" applyAlignment="1">
      <alignment horizontal="right" vertical="top"/>
    </xf>
    <xf numFmtId="164" fontId="2" fillId="0" borderId="9" xfId="2" applyNumberFormat="1" applyFont="1" applyBorder="1" applyAlignment="1">
      <alignment horizontal="right" vertical="top"/>
    </xf>
    <xf numFmtId="164" fontId="1" fillId="4" borderId="1" xfId="2" applyNumberFormat="1" applyFont="1" applyFill="1" applyBorder="1" applyAlignment="1">
      <alignment horizontal="right" vertical="top"/>
    </xf>
    <xf numFmtId="164" fontId="2" fillId="3" borderId="8" xfId="2" applyNumberFormat="1" applyFont="1" applyFill="1" applyBorder="1" applyAlignment="1">
      <alignment horizontal="right" vertical="top"/>
    </xf>
    <xf numFmtId="164" fontId="1" fillId="4" borderId="9" xfId="2" applyNumberFormat="1" applyFont="1" applyFill="1" applyBorder="1" applyAlignment="1">
      <alignment horizontal="right" vertical="top"/>
    </xf>
    <xf numFmtId="164" fontId="1" fillId="0" borderId="9" xfId="2" applyNumberFormat="1" applyFont="1" applyBorder="1" applyAlignment="1">
      <alignment horizontal="right" vertical="top"/>
    </xf>
    <xf numFmtId="164" fontId="1" fillId="4" borderId="8" xfId="2" applyNumberFormat="1" applyFont="1" applyFill="1" applyBorder="1" applyAlignment="1">
      <alignment horizontal="right" vertical="top"/>
    </xf>
    <xf numFmtId="164" fontId="1" fillId="0" borderId="8" xfId="2" applyNumberFormat="1" applyFont="1" applyBorder="1" applyAlignment="1">
      <alignment horizontal="right" vertical="top"/>
    </xf>
    <xf numFmtId="164" fontId="1" fillId="4" borderId="26" xfId="2" applyNumberFormat="1" applyFont="1" applyFill="1" applyBorder="1" applyAlignment="1">
      <alignment horizontal="right" vertical="top"/>
    </xf>
    <xf numFmtId="1" fontId="1" fillId="2" borderId="2" xfId="2" applyNumberFormat="1" applyFont="1" applyFill="1" applyBorder="1" applyAlignment="1">
      <alignment horizontal="right"/>
    </xf>
    <xf numFmtId="167" fontId="1" fillId="2" borderId="0" xfId="2" applyNumberFormat="1" applyFont="1" applyFill="1" applyAlignment="1">
      <alignment horizontal="right"/>
    </xf>
    <xf numFmtId="165" fontId="2" fillId="4" borderId="4" xfId="2" applyNumberFormat="1" applyFont="1" applyFill="1" applyBorder="1" applyAlignment="1">
      <alignment horizontal="right"/>
    </xf>
    <xf numFmtId="165" fontId="2" fillId="0" borderId="4" xfId="2" applyNumberFormat="1" applyFont="1" applyBorder="1" applyAlignment="1">
      <alignment horizontal="right"/>
    </xf>
    <xf numFmtId="165" fontId="2" fillId="0" borderId="0" xfId="2" applyNumberFormat="1" applyFont="1" applyAlignment="1">
      <alignment horizontal="right"/>
    </xf>
    <xf numFmtId="165" fontId="1" fillId="0" borderId="4" xfId="2" applyNumberFormat="1" applyFont="1" applyBorder="1" applyAlignment="1">
      <alignment horizontal="right"/>
    </xf>
    <xf numFmtId="165" fontId="1" fillId="4" borderId="0" xfId="2" applyNumberFormat="1" applyFont="1" applyFill="1" applyAlignment="1">
      <alignment horizontal="right"/>
    </xf>
    <xf numFmtId="169" fontId="4" fillId="0" borderId="0" xfId="0" applyNumberFormat="1" applyFont="1" applyAlignment="1">
      <alignment horizontal="right"/>
    </xf>
    <xf numFmtId="165" fontId="2" fillId="20" borderId="5" xfId="2" applyNumberFormat="1" applyFont="1" applyFill="1" applyBorder="1" applyAlignment="1">
      <alignment horizontal="right"/>
    </xf>
    <xf numFmtId="165" fontId="2" fillId="0" borderId="5" xfId="2" applyNumberFormat="1" applyFont="1" applyBorder="1" applyAlignment="1">
      <alignment horizontal="right"/>
    </xf>
    <xf numFmtId="165" fontId="2" fillId="20" borderId="4" xfId="2" applyNumberFormat="1" applyFont="1" applyFill="1" applyBorder="1" applyAlignment="1">
      <alignment horizontal="right"/>
    </xf>
    <xf numFmtId="165" fontId="2" fillId="20" borderId="22" xfId="2" applyNumberFormat="1" applyFont="1" applyFill="1" applyBorder="1" applyAlignment="1">
      <alignment horizontal="right"/>
    </xf>
    <xf numFmtId="165" fontId="2" fillId="0" borderId="22" xfId="2" applyNumberFormat="1" applyFont="1" applyBorder="1" applyAlignment="1">
      <alignment horizontal="right"/>
    </xf>
    <xf numFmtId="165" fontId="1" fillId="20" borderId="4" xfId="2" applyNumberFormat="1" applyFont="1" applyFill="1" applyBorder="1" applyAlignment="1">
      <alignment horizontal="right"/>
    </xf>
    <xf numFmtId="165" fontId="1" fillId="20" borderId="0" xfId="2" applyNumberFormat="1" applyFont="1" applyFill="1" applyAlignment="1">
      <alignment horizontal="right"/>
    </xf>
    <xf numFmtId="165" fontId="2" fillId="20" borderId="0" xfId="2" applyNumberFormat="1" applyFont="1" applyFill="1" applyAlignment="1">
      <alignment horizontal="right"/>
    </xf>
    <xf numFmtId="165" fontId="1" fillId="20" borderId="3" xfId="2" applyNumberFormat="1" applyFont="1" applyFill="1" applyBorder="1" applyAlignment="1">
      <alignment horizontal="right"/>
    </xf>
    <xf numFmtId="165" fontId="1" fillId="0" borderId="3" xfId="2" applyNumberFormat="1" applyFont="1" applyBorder="1" applyAlignment="1">
      <alignment horizontal="right"/>
    </xf>
    <xf numFmtId="165" fontId="1" fillId="4" borderId="0" xfId="0" applyNumberFormat="1" applyFont="1" applyFill="1" applyAlignment="1">
      <alignment horizontal="right"/>
    </xf>
    <xf numFmtId="165" fontId="1" fillId="0" borderId="0" xfId="0" applyNumberFormat="1" applyFont="1" applyAlignment="1">
      <alignment horizontal="right"/>
    </xf>
    <xf numFmtId="165" fontId="2" fillId="4" borderId="0" xfId="0" applyNumberFormat="1" applyFont="1" applyFill="1" applyAlignment="1">
      <alignment horizontal="right"/>
    </xf>
    <xf numFmtId="165" fontId="2" fillId="0" borderId="0" xfId="0" applyNumberFormat="1" applyFont="1" applyAlignment="1">
      <alignment horizontal="right"/>
    </xf>
    <xf numFmtId="165" fontId="2" fillId="4" borderId="5" xfId="0" applyNumberFormat="1" applyFont="1" applyFill="1" applyBorder="1" applyAlignment="1">
      <alignment horizontal="right"/>
    </xf>
    <xf numFmtId="167" fontId="2" fillId="0" borderId="0" xfId="2" applyNumberFormat="1" applyFont="1" applyAlignment="1">
      <alignment horizontal="right"/>
    </xf>
    <xf numFmtId="169" fontId="6" fillId="3" borderId="0" xfId="0" applyNumberFormat="1" applyFont="1" applyFill="1" applyAlignment="1">
      <alignment horizontal="left" vertical="center"/>
    </xf>
    <xf numFmtId="169" fontId="24" fillId="3" borderId="0" xfId="0" applyNumberFormat="1" applyFont="1" applyFill="1" applyAlignment="1">
      <alignment horizontal="left" vertical="center"/>
    </xf>
    <xf numFmtId="169" fontId="32" fillId="7" borderId="17" xfId="0" applyNumberFormat="1" applyFont="1" applyFill="1" applyBorder="1" applyAlignment="1">
      <alignment horizontal="left" vertical="center" wrapText="1"/>
    </xf>
    <xf numFmtId="9" fontId="0" fillId="0" borderId="0" xfId="0" applyNumberFormat="1"/>
    <xf numFmtId="166" fontId="3" fillId="8" borderId="2" xfId="2" applyNumberFormat="1" applyFont="1" applyFill="1" applyBorder="1" applyAlignment="1">
      <alignment horizontal="right"/>
    </xf>
    <xf numFmtId="167" fontId="2" fillId="8" borderId="27" xfId="2" applyNumberFormat="1" applyFont="1" applyFill="1" applyBorder="1" applyAlignment="1">
      <alignment horizontal="right" vertical="top"/>
    </xf>
    <xf numFmtId="167" fontId="2" fillId="8" borderId="4" xfId="2" applyNumberFormat="1" applyFont="1" applyFill="1" applyBorder="1" applyAlignment="1">
      <alignment horizontal="right" vertical="top"/>
    </xf>
    <xf numFmtId="167" fontId="2" fillId="8" borderId="9" xfId="2" applyNumberFormat="1" applyFont="1" applyFill="1" applyBorder="1" applyAlignment="1">
      <alignment horizontal="right" vertical="top"/>
    </xf>
    <xf numFmtId="167" fontId="2" fillId="8" borderId="0" xfId="2" applyNumberFormat="1" applyFont="1" applyFill="1" applyAlignment="1">
      <alignment horizontal="right" vertical="top"/>
    </xf>
    <xf numFmtId="167" fontId="11" fillId="11" borderId="0" xfId="2" applyNumberFormat="1" applyFont="1" applyFill="1" applyAlignment="1">
      <alignment horizontal="right" vertical="top"/>
    </xf>
    <xf numFmtId="167" fontId="9" fillId="8" borderId="9" xfId="2" applyNumberFormat="1" applyFont="1" applyFill="1" applyBorder="1" applyAlignment="1">
      <alignment horizontal="right" vertical="top"/>
    </xf>
    <xf numFmtId="169" fontId="32" fillId="0" borderId="0" xfId="0" quotePrefix="1" applyNumberFormat="1" applyFont="1"/>
    <xf numFmtId="166" fontId="32" fillId="8" borderId="0" xfId="2" applyNumberFormat="1" applyFont="1" applyFill="1" applyAlignment="1">
      <alignment horizontal="right"/>
    </xf>
    <xf numFmtId="169" fontId="32" fillId="11" borderId="49" xfId="0" applyNumberFormat="1" applyFont="1" applyFill="1" applyBorder="1"/>
    <xf numFmtId="169" fontId="96" fillId="0" borderId="0" xfId="0" applyNumberFormat="1" applyFont="1"/>
    <xf numFmtId="0" fontId="0" fillId="0" borderId="0" xfId="0" applyAlignment="1">
      <alignment horizontal="left"/>
    </xf>
    <xf numFmtId="167" fontId="27" fillId="9" borderId="0" xfId="2" applyNumberFormat="1" applyFont="1" applyFill="1" applyAlignment="1">
      <alignment vertical="top"/>
    </xf>
    <xf numFmtId="169" fontId="31" fillId="0" borderId="2" xfId="0" applyNumberFormat="1" applyFont="1" applyBorder="1" applyAlignment="1">
      <alignment horizontal="right"/>
    </xf>
    <xf numFmtId="169" fontId="48" fillId="0" borderId="0" xfId="0" applyNumberFormat="1" applyFont="1"/>
    <xf numFmtId="169" fontId="47" fillId="0" borderId="0" xfId="0" applyNumberFormat="1" applyFont="1"/>
    <xf numFmtId="169" fontId="47" fillId="0" borderId="0" xfId="0" applyNumberFormat="1" applyFont="1" applyAlignment="1">
      <alignment horizontal="right"/>
    </xf>
    <xf numFmtId="169" fontId="1" fillId="0" borderId="21" xfId="0" applyNumberFormat="1" applyFont="1" applyBorder="1" applyAlignment="1">
      <alignment vertical="center"/>
    </xf>
    <xf numFmtId="169" fontId="2" fillId="0" borderId="21" xfId="0" applyNumberFormat="1" applyFont="1" applyBorder="1"/>
    <xf numFmtId="169" fontId="39" fillId="0" borderId="2" xfId="0" applyNumberFormat="1" applyFont="1" applyBorder="1"/>
    <xf numFmtId="1" fontId="51" fillId="8" borderId="0" xfId="0" applyNumberFormat="1" applyFont="1" applyFill="1" applyAlignment="1">
      <alignment horizontal="right"/>
    </xf>
    <xf numFmtId="167" fontId="58" fillId="11" borderId="0" xfId="2" applyNumberFormat="1" applyFont="1" applyFill="1" applyAlignment="1">
      <alignment horizontal="right"/>
    </xf>
    <xf numFmtId="169" fontId="53" fillId="11" borderId="5" xfId="2" applyNumberFormat="1" applyFont="1" applyFill="1" applyBorder="1" applyAlignment="1">
      <alignment horizontal="left"/>
    </xf>
    <xf numFmtId="169" fontId="98" fillId="0" borderId="0" xfId="0" applyNumberFormat="1" applyFont="1"/>
    <xf numFmtId="169" fontId="99" fillId="0" borderId="0" xfId="0" applyNumberFormat="1" applyFont="1"/>
    <xf numFmtId="169" fontId="100" fillId="0" borderId="0" xfId="0" applyNumberFormat="1" applyFont="1"/>
    <xf numFmtId="169" fontId="36" fillId="13" borderId="2" xfId="3" applyNumberFormat="1" applyFont="1" applyFill="1" applyBorder="1" applyAlignment="1">
      <alignment horizontal="right"/>
    </xf>
    <xf numFmtId="169" fontId="84" fillId="13" borderId="0" xfId="0" applyNumberFormat="1" applyFont="1" applyFill="1" applyAlignment="1">
      <alignment horizontal="right" vertical="top" wrapText="1"/>
    </xf>
    <xf numFmtId="167" fontId="33" fillId="8" borderId="0" xfId="2" applyNumberFormat="1" applyFont="1" applyFill="1" applyAlignment="1">
      <alignment vertical="top"/>
    </xf>
    <xf numFmtId="169" fontId="102" fillId="11" borderId="0" xfId="0" applyNumberFormat="1" applyFont="1" applyFill="1"/>
    <xf numFmtId="169" fontId="69" fillId="0" borderId="0" xfId="0" applyNumberFormat="1" applyFont="1" applyAlignment="1">
      <alignment horizontal="left"/>
    </xf>
    <xf numFmtId="167" fontId="2" fillId="8" borderId="4" xfId="2" applyNumberFormat="1" applyFont="1" applyFill="1" applyBorder="1" applyAlignment="1">
      <alignment horizontal="right"/>
    </xf>
    <xf numFmtId="167" fontId="2" fillId="8" borderId="2" xfId="2" applyNumberFormat="1" applyFont="1" applyFill="1" applyBorder="1" applyAlignment="1">
      <alignment horizontal="right"/>
    </xf>
    <xf numFmtId="167" fontId="1" fillId="8" borderId="0" xfId="2" applyNumberFormat="1" applyFont="1" applyFill="1" applyAlignment="1">
      <alignment horizontal="right"/>
    </xf>
    <xf numFmtId="167" fontId="2" fillId="8" borderId="0" xfId="2" applyNumberFormat="1" applyFont="1" applyFill="1" applyAlignment="1">
      <alignment horizontal="right"/>
    </xf>
    <xf numFmtId="167" fontId="1" fillId="8" borderId="7" xfId="2" applyNumberFormat="1" applyFont="1" applyFill="1" applyBorder="1" applyAlignment="1">
      <alignment horizontal="right"/>
    </xf>
    <xf numFmtId="167" fontId="2" fillId="8" borderId="1" xfId="2" applyNumberFormat="1" applyFont="1" applyFill="1" applyBorder="1" applyAlignment="1">
      <alignment horizontal="right"/>
    </xf>
    <xf numFmtId="166" fontId="2" fillId="8" borderId="4" xfId="2" applyNumberFormat="1" applyFont="1" applyFill="1" applyBorder="1"/>
    <xf numFmtId="166" fontId="2" fillId="0" borderId="0" xfId="2" applyNumberFormat="1" applyFont="1"/>
    <xf numFmtId="166" fontId="1" fillId="8" borderId="6" xfId="2" applyNumberFormat="1" applyFont="1" applyFill="1" applyBorder="1"/>
    <xf numFmtId="167" fontId="25" fillId="8" borderId="4" xfId="2" applyNumberFormat="1" applyFont="1" applyFill="1" applyBorder="1" applyAlignment="1">
      <alignment horizontal="right"/>
    </xf>
    <xf numFmtId="167" fontId="25" fillId="8" borderId="1" xfId="2" applyNumberFormat="1" applyFont="1" applyFill="1" applyBorder="1" applyAlignment="1">
      <alignment horizontal="right"/>
    </xf>
    <xf numFmtId="167" fontId="26" fillId="8" borderId="6" xfId="2" applyNumberFormat="1" applyFont="1" applyFill="1" applyBorder="1" applyAlignment="1">
      <alignment horizontal="right"/>
    </xf>
    <xf numFmtId="167" fontId="25" fillId="8" borderId="9" xfId="2" applyNumberFormat="1" applyFont="1" applyFill="1" applyBorder="1"/>
    <xf numFmtId="167" fontId="25" fillId="8" borderId="9" xfId="2" applyNumberFormat="1" applyFont="1" applyFill="1" applyBorder="1" applyAlignment="1">
      <alignment horizontal="right"/>
    </xf>
    <xf numFmtId="167" fontId="25" fillId="8" borderId="11" xfId="2" applyNumberFormat="1" applyFont="1" applyFill="1" applyBorder="1"/>
    <xf numFmtId="167" fontId="25" fillId="8" borderId="8" xfId="2" applyNumberFormat="1" applyFont="1" applyFill="1" applyBorder="1"/>
    <xf numFmtId="167" fontId="25" fillId="8" borderId="5" xfId="2" applyNumberFormat="1" applyFont="1" applyFill="1" applyBorder="1" applyAlignment="1">
      <alignment horizontal="right"/>
    </xf>
    <xf numFmtId="167" fontId="25" fillId="8" borderId="22" xfId="2" applyNumberFormat="1" applyFont="1" applyFill="1" applyBorder="1" applyAlignment="1">
      <alignment horizontal="right"/>
    </xf>
    <xf numFmtId="167" fontId="26" fillId="8" borderId="4" xfId="2" applyNumberFormat="1" applyFont="1" applyFill="1" applyBorder="1" applyAlignment="1">
      <alignment horizontal="right"/>
    </xf>
    <xf numFmtId="167" fontId="25" fillId="8" borderId="2" xfId="2" applyNumberFormat="1" applyFont="1" applyFill="1" applyBorder="1" applyAlignment="1">
      <alignment horizontal="right"/>
    </xf>
    <xf numFmtId="167" fontId="26" fillId="8" borderId="0" xfId="2" applyNumberFormat="1" applyFont="1" applyFill="1" applyAlignment="1">
      <alignment horizontal="right"/>
    </xf>
    <xf numFmtId="167" fontId="25" fillId="8" borderId="0" xfId="2" applyNumberFormat="1" applyFont="1" applyFill="1" applyAlignment="1">
      <alignment horizontal="right"/>
    </xf>
    <xf numFmtId="167" fontId="26" fillId="8" borderId="3" xfId="2" applyNumberFormat="1" applyFont="1" applyFill="1" applyBorder="1" applyAlignment="1">
      <alignment horizontal="right"/>
    </xf>
    <xf numFmtId="169" fontId="98" fillId="0" borderId="2" xfId="0" applyNumberFormat="1" applyFont="1" applyBorder="1"/>
    <xf numFmtId="169" fontId="99" fillId="0" borderId="2" xfId="0" applyNumberFormat="1" applyFont="1" applyBorder="1"/>
    <xf numFmtId="167" fontId="40" fillId="23" borderId="0" xfId="2" applyNumberFormat="1" applyFont="1" applyFill="1"/>
    <xf numFmtId="167" fontId="95" fillId="23" borderId="0" xfId="2" applyNumberFormat="1" applyFont="1" applyFill="1"/>
    <xf numFmtId="169" fontId="38" fillId="23" borderId="0" xfId="0" applyNumberFormat="1" applyFont="1" applyFill="1"/>
    <xf numFmtId="169" fontId="38" fillId="23" borderId="2" xfId="0" applyNumberFormat="1" applyFont="1" applyFill="1" applyBorder="1"/>
    <xf numFmtId="169" fontId="39" fillId="23" borderId="0" xfId="0" applyNumberFormat="1" applyFont="1" applyFill="1"/>
    <xf numFmtId="169" fontId="92" fillId="13" borderId="2" xfId="3" applyNumberFormat="1" applyFont="1" applyFill="1" applyBorder="1" applyAlignment="1">
      <alignment horizontal="right"/>
    </xf>
    <xf numFmtId="169" fontId="105" fillId="18" borderId="0" xfId="0" applyNumberFormat="1" applyFont="1" applyFill="1" applyAlignment="1">
      <alignment vertical="top"/>
    </xf>
    <xf numFmtId="169" fontId="106" fillId="18" borderId="0" xfId="0" applyNumberFormat="1" applyFont="1" applyFill="1" applyAlignment="1">
      <alignment horizontal="center" vertical="top"/>
    </xf>
    <xf numFmtId="169" fontId="56" fillId="18" borderId="0" xfId="0" applyNumberFormat="1" applyFont="1" applyFill="1" applyAlignment="1">
      <alignment horizontal="center"/>
    </xf>
    <xf numFmtId="166" fontId="51" fillId="8" borderId="0" xfId="2" applyNumberFormat="1" applyFont="1" applyFill="1" applyAlignment="1">
      <alignment horizontal="right"/>
    </xf>
    <xf numFmtId="169" fontId="3" fillId="6" borderId="0" xfId="0" applyNumberFormat="1" applyFont="1" applyFill="1"/>
    <xf numFmtId="167" fontId="51" fillId="6" borderId="2" xfId="2" applyNumberFormat="1" applyFont="1" applyFill="1" applyBorder="1" applyAlignment="1">
      <alignment horizontal="right"/>
    </xf>
    <xf numFmtId="167" fontId="56" fillId="3" borderId="0" xfId="2" applyNumberFormat="1" applyFont="1" applyFill="1"/>
    <xf numFmtId="165" fontId="2" fillId="4" borderId="0" xfId="2" applyNumberFormat="1" applyFont="1" applyFill="1" applyAlignment="1">
      <alignment horizontal="right"/>
    </xf>
    <xf numFmtId="165" fontId="2" fillId="4" borderId="5" xfId="2" applyNumberFormat="1" applyFont="1" applyFill="1" applyBorder="1" applyAlignment="1">
      <alignment horizontal="right"/>
    </xf>
    <xf numFmtId="169" fontId="2" fillId="0" borderId="0" xfId="0" applyNumberFormat="1" applyFont="1" applyAlignment="1">
      <alignment vertical="top" wrapText="1"/>
    </xf>
    <xf numFmtId="169" fontId="2" fillId="0" borderId="0" xfId="0" applyNumberFormat="1" applyFont="1" applyAlignment="1">
      <alignment horizontal="center" vertical="top" wrapText="1"/>
    </xf>
    <xf numFmtId="0" fontId="2" fillId="0" borderId="0" xfId="0" applyFont="1" applyAlignment="1">
      <alignment wrapText="1"/>
    </xf>
    <xf numFmtId="0" fontId="2" fillId="6" borderId="0" xfId="0" applyFont="1" applyFill="1" applyAlignment="1">
      <alignment horizontal="left" wrapText="1" indent="1"/>
    </xf>
    <xf numFmtId="167" fontId="2" fillId="20" borderId="9" xfId="2" applyNumberFormat="1" applyFont="1" applyFill="1" applyBorder="1"/>
    <xf numFmtId="169" fontId="2" fillId="0" borderId="0" xfId="0" applyNumberFormat="1" applyFont="1" applyAlignment="1">
      <alignment horizontal="center" wrapText="1"/>
    </xf>
    <xf numFmtId="0" fontId="0" fillId="0" borderId="0" xfId="0" applyAlignment="1">
      <alignment horizontal="right"/>
    </xf>
    <xf numFmtId="0" fontId="107" fillId="17" borderId="0" xfId="0" applyFont="1" applyFill="1"/>
    <xf numFmtId="0" fontId="107" fillId="17" borderId="0" xfId="0" applyFont="1" applyFill="1" applyAlignment="1">
      <alignment horizontal="right"/>
    </xf>
    <xf numFmtId="167" fontId="51" fillId="6" borderId="0" xfId="2" applyNumberFormat="1" applyFont="1" applyFill="1" applyAlignment="1">
      <alignment horizontal="right"/>
    </xf>
    <xf numFmtId="167" fontId="58" fillId="8" borderId="7" xfId="2" applyNumberFormat="1" applyFont="1" applyFill="1" applyBorder="1" applyAlignment="1">
      <alignment horizontal="right"/>
    </xf>
    <xf numFmtId="167" fontId="58" fillId="8" borderId="0" xfId="2" applyNumberFormat="1" applyFont="1" applyFill="1" applyBorder="1" applyAlignment="1">
      <alignment horizontal="right"/>
    </xf>
    <xf numFmtId="167" fontId="58" fillId="8" borderId="2" xfId="2" applyNumberFormat="1" applyFont="1" applyFill="1" applyBorder="1" applyAlignment="1">
      <alignment horizontal="right"/>
    </xf>
    <xf numFmtId="169" fontId="108" fillId="10" borderId="2" xfId="0" applyNumberFormat="1" applyFont="1" applyFill="1" applyBorder="1" applyAlignment="1">
      <alignment horizontal="left"/>
    </xf>
    <xf numFmtId="167" fontId="3" fillId="11" borderId="0" xfId="2" applyNumberFormat="1" applyFont="1" applyFill="1" applyAlignment="1">
      <alignment vertical="top"/>
    </xf>
    <xf numFmtId="169" fontId="3" fillId="11" borderId="0" xfId="0" applyNumberFormat="1" applyFont="1" applyFill="1" applyAlignment="1">
      <alignment vertical="top"/>
    </xf>
    <xf numFmtId="169" fontId="3" fillId="11" borderId="0" xfId="0" applyNumberFormat="1" applyFont="1" applyFill="1" applyAlignment="1">
      <alignment horizontal="center" vertical="top"/>
    </xf>
    <xf numFmtId="169" fontId="15" fillId="6" borderId="0" xfId="2" applyNumberFormat="1" applyFont="1" applyFill="1" applyAlignment="1">
      <alignment horizontal="right" vertical="top" wrapText="1"/>
    </xf>
    <xf numFmtId="169" fontId="1" fillId="11" borderId="0" xfId="0" applyNumberFormat="1" applyFont="1" applyFill="1" applyAlignment="1">
      <alignment horizontal="right" vertical="top"/>
    </xf>
    <xf numFmtId="169" fontId="25" fillId="8" borderId="4" xfId="0" applyNumberFormat="1" applyFont="1" applyFill="1" applyBorder="1" applyAlignment="1">
      <alignment horizontal="left" vertical="top"/>
    </xf>
    <xf numFmtId="169" fontId="25" fillId="8" borderId="4" xfId="0" applyNumberFormat="1" applyFont="1" applyFill="1" applyBorder="1" applyAlignment="1">
      <alignment horizontal="right" vertical="top"/>
    </xf>
    <xf numFmtId="169" fontId="25" fillId="8" borderId="1" xfId="0" applyNumberFormat="1" applyFont="1" applyFill="1" applyBorder="1" applyAlignment="1">
      <alignment horizontal="left" vertical="top"/>
    </xf>
    <xf numFmtId="169" fontId="25" fillId="8" borderId="1" xfId="0" applyNumberFormat="1" applyFont="1" applyFill="1" applyBorder="1" applyAlignment="1">
      <alignment horizontal="right" vertical="top"/>
    </xf>
    <xf numFmtId="167" fontId="25" fillId="8" borderId="1" xfId="2" applyNumberFormat="1" applyFont="1" applyFill="1" applyBorder="1" applyAlignment="1">
      <alignment horizontal="right" vertical="top"/>
    </xf>
    <xf numFmtId="167" fontId="1" fillId="11" borderId="9" xfId="2" applyNumberFormat="1" applyFont="1" applyFill="1" applyBorder="1" applyAlignment="1">
      <alignment horizontal="right" vertical="top"/>
    </xf>
    <xf numFmtId="168" fontId="58" fillId="8" borderId="0" xfId="1" applyNumberFormat="1" applyFont="1" applyFill="1" applyAlignment="1">
      <alignment horizontal="right"/>
    </xf>
    <xf numFmtId="168" fontId="57" fillId="8" borderId="7" xfId="1" applyNumberFormat="1" applyFont="1" applyFill="1" applyBorder="1" applyAlignment="1">
      <alignment horizontal="right"/>
    </xf>
    <xf numFmtId="169" fontId="15" fillId="6" borderId="0" xfId="2" applyNumberFormat="1" applyFont="1" applyFill="1" applyAlignment="1">
      <alignment horizontal="left" vertical="top"/>
    </xf>
    <xf numFmtId="169" fontId="3" fillId="18" borderId="0" xfId="0" applyNumberFormat="1" applyFont="1" applyFill="1"/>
    <xf numFmtId="169" fontId="51" fillId="8" borderId="4" xfId="2" applyNumberFormat="1" applyFont="1" applyFill="1" applyBorder="1" applyAlignment="1">
      <alignment horizontal="left"/>
    </xf>
    <xf numFmtId="166" fontId="58" fillId="8" borderId="5" xfId="2" applyNumberFormat="1" applyFont="1" applyFill="1" applyBorder="1" applyAlignment="1">
      <alignment horizontal="left"/>
    </xf>
    <xf numFmtId="167" fontId="58" fillId="8" borderId="38" xfId="2" applyNumberFormat="1" applyFont="1" applyFill="1" applyBorder="1" applyAlignment="1">
      <alignment horizontal="right"/>
    </xf>
    <xf numFmtId="166" fontId="56" fillId="18" borderId="0" xfId="2" applyNumberFormat="1" applyFont="1" applyFill="1" applyAlignment="1">
      <alignment horizontal="left"/>
    </xf>
    <xf numFmtId="169" fontId="58" fillId="8" borderId="5" xfId="2" applyNumberFormat="1" applyFont="1" applyFill="1" applyBorder="1" applyAlignment="1">
      <alignment horizontal="left"/>
    </xf>
    <xf numFmtId="167" fontId="58" fillId="8" borderId="5" xfId="2" applyNumberFormat="1" applyFont="1" applyFill="1" applyBorder="1" applyAlignment="1">
      <alignment horizontal="right"/>
    </xf>
    <xf numFmtId="169" fontId="58" fillId="8" borderId="1" xfId="0" applyNumberFormat="1" applyFont="1" applyFill="1" applyBorder="1" applyAlignment="1">
      <alignment horizontal="left"/>
    </xf>
    <xf numFmtId="167" fontId="2" fillId="11" borderId="4" xfId="2" applyNumberFormat="1" applyFont="1" applyFill="1" applyBorder="1" applyAlignment="1">
      <alignment horizontal="right"/>
    </xf>
    <xf numFmtId="167" fontId="2" fillId="11" borderId="2" xfId="2" applyNumberFormat="1" applyFont="1" applyFill="1" applyBorder="1" applyAlignment="1">
      <alignment horizontal="right"/>
    </xf>
    <xf numFmtId="167" fontId="1" fillId="11" borderId="0" xfId="2" applyNumberFormat="1" applyFont="1" applyFill="1" applyAlignment="1">
      <alignment horizontal="right"/>
    </xf>
    <xf numFmtId="167" fontId="2" fillId="11" borderId="0" xfId="2" applyNumberFormat="1" applyFont="1" applyFill="1" applyAlignment="1">
      <alignment horizontal="right"/>
    </xf>
    <xf numFmtId="167" fontId="1" fillId="11" borderId="7" xfId="2" applyNumberFormat="1" applyFont="1" applyFill="1" applyBorder="1" applyAlignment="1">
      <alignment horizontal="right"/>
    </xf>
    <xf numFmtId="167" fontId="2" fillId="11" borderId="1" xfId="2" applyNumberFormat="1" applyFont="1" applyFill="1" applyBorder="1" applyAlignment="1">
      <alignment horizontal="right"/>
    </xf>
    <xf numFmtId="167" fontId="26" fillId="8" borderId="7" xfId="2" applyNumberFormat="1" applyFont="1" applyFill="1" applyBorder="1" applyAlignment="1">
      <alignment horizontal="right"/>
    </xf>
    <xf numFmtId="167" fontId="25" fillId="8" borderId="4" xfId="2" applyNumberFormat="1" applyFont="1" applyFill="1" applyBorder="1" applyAlignment="1">
      <alignment horizontal="left"/>
    </xf>
    <xf numFmtId="167" fontId="25" fillId="8" borderId="2" xfId="2" applyNumberFormat="1" applyFont="1" applyFill="1" applyBorder="1" applyAlignment="1">
      <alignment horizontal="left"/>
    </xf>
    <xf numFmtId="167" fontId="26" fillId="8" borderId="0" xfId="2" applyNumberFormat="1" applyFont="1" applyFill="1" applyAlignment="1">
      <alignment horizontal="left"/>
    </xf>
    <xf numFmtId="167" fontId="25" fillId="8" borderId="0" xfId="2" applyNumberFormat="1" applyFont="1" applyFill="1" applyAlignment="1">
      <alignment horizontal="left"/>
    </xf>
    <xf numFmtId="167" fontId="26" fillId="8" borderId="7" xfId="2" applyNumberFormat="1" applyFont="1" applyFill="1" applyBorder="1" applyAlignment="1">
      <alignment horizontal="left"/>
    </xf>
    <xf numFmtId="167" fontId="25" fillId="8" borderId="1" xfId="2" applyNumberFormat="1" applyFont="1" applyFill="1" applyBorder="1" applyAlignment="1">
      <alignment horizontal="left"/>
    </xf>
    <xf numFmtId="169" fontId="45" fillId="0" borderId="0" xfId="0" applyNumberFormat="1" applyFont="1"/>
    <xf numFmtId="1" fontId="25" fillId="8" borderId="4" xfId="0" applyNumberFormat="1" applyFont="1" applyFill="1" applyBorder="1" applyAlignment="1">
      <alignment horizontal="center"/>
    </xf>
    <xf numFmtId="166" fontId="2" fillId="11" borderId="4" xfId="2" applyNumberFormat="1" applyFont="1" applyFill="1" applyBorder="1"/>
    <xf numFmtId="166" fontId="1" fillId="11" borderId="6" xfId="2" applyNumberFormat="1" applyFont="1" applyFill="1" applyBorder="1"/>
    <xf numFmtId="169" fontId="2" fillId="8" borderId="4" xfId="0" applyNumberFormat="1" applyFont="1" applyFill="1" applyBorder="1"/>
    <xf numFmtId="169" fontId="1" fillId="8" borderId="6" xfId="0" applyNumberFormat="1" applyFont="1" applyFill="1" applyBorder="1"/>
    <xf numFmtId="169" fontId="25" fillId="8" borderId="4" xfId="0" applyNumberFormat="1" applyFont="1" applyFill="1" applyBorder="1"/>
    <xf numFmtId="166" fontId="25" fillId="8" borderId="4" xfId="2" applyNumberFormat="1" applyFont="1" applyFill="1" applyBorder="1"/>
    <xf numFmtId="169" fontId="26" fillId="8" borderId="6" xfId="0" applyNumberFormat="1" applyFont="1" applyFill="1" applyBorder="1"/>
    <xf numFmtId="166" fontId="26" fillId="8" borderId="6" xfId="2" applyNumberFormat="1" applyFont="1" applyFill="1" applyBorder="1"/>
    <xf numFmtId="169" fontId="25" fillId="8" borderId="0" xfId="0" applyNumberFormat="1" applyFont="1" applyFill="1"/>
    <xf numFmtId="169" fontId="2" fillId="8" borderId="1" xfId="0" applyNumberFormat="1" applyFont="1" applyFill="1" applyBorder="1"/>
    <xf numFmtId="169" fontId="26" fillId="8" borderId="0" xfId="0" applyNumberFormat="1" applyFont="1" applyFill="1"/>
    <xf numFmtId="169" fontId="25" fillId="8" borderId="9" xfId="0" applyNumberFormat="1" applyFont="1" applyFill="1" applyBorder="1"/>
    <xf numFmtId="169" fontId="25" fillId="8" borderId="9" xfId="0" applyNumberFormat="1" applyFont="1" applyFill="1" applyBorder="1" applyAlignment="1">
      <alignment horizontal="left" indent="1"/>
    </xf>
    <xf numFmtId="169" fontId="1" fillId="2" borderId="2" xfId="0" applyNumberFormat="1" applyFont="1" applyFill="1" applyBorder="1" applyAlignment="1">
      <alignment horizontal="left"/>
    </xf>
    <xf numFmtId="169" fontId="45" fillId="0" borderId="2" xfId="0" applyNumberFormat="1" applyFont="1" applyBorder="1" applyAlignment="1">
      <alignment horizontal="right"/>
    </xf>
    <xf numFmtId="169" fontId="1" fillId="3" borderId="0" xfId="0" applyNumberFormat="1" applyFont="1" applyFill="1" applyAlignment="1">
      <alignment horizontal="right"/>
    </xf>
    <xf numFmtId="169" fontId="25" fillId="8" borderId="4" xfId="0" applyNumberFormat="1" applyFont="1" applyFill="1" applyBorder="1" applyAlignment="1">
      <alignment horizontal="right"/>
    </xf>
    <xf numFmtId="169" fontId="26" fillId="8" borderId="6" xfId="0" applyNumberFormat="1" applyFont="1" applyFill="1" applyBorder="1" applyAlignment="1">
      <alignment horizontal="right"/>
    </xf>
    <xf numFmtId="169" fontId="25" fillId="11" borderId="4" xfId="0" applyNumberFormat="1" applyFont="1" applyFill="1" applyBorder="1" applyAlignment="1">
      <alignment horizontal="right"/>
    </xf>
    <xf numFmtId="169" fontId="26" fillId="11" borderId="6" xfId="0" applyNumberFormat="1" applyFont="1" applyFill="1" applyBorder="1" applyAlignment="1">
      <alignment horizontal="right"/>
    </xf>
    <xf numFmtId="169" fontId="2" fillId="28" borderId="0" xfId="0" applyNumberFormat="1" applyFont="1" applyFill="1"/>
    <xf numFmtId="169" fontId="2" fillId="28" borderId="0" xfId="0" applyNumberFormat="1" applyFont="1" applyFill="1" applyAlignment="1">
      <alignment horizontal="right"/>
    </xf>
    <xf numFmtId="167" fontId="25" fillId="11" borderId="4" xfId="2" applyNumberFormat="1" applyFont="1" applyFill="1" applyBorder="1" applyAlignment="1">
      <alignment horizontal="right"/>
    </xf>
    <xf numFmtId="167" fontId="25" fillId="11" borderId="1" xfId="2" applyNumberFormat="1" applyFont="1" applyFill="1" applyBorder="1" applyAlignment="1">
      <alignment horizontal="right"/>
    </xf>
    <xf numFmtId="167" fontId="26" fillId="11" borderId="6" xfId="2" applyNumberFormat="1" applyFont="1" applyFill="1" applyBorder="1" applyAlignment="1">
      <alignment horizontal="right"/>
    </xf>
    <xf numFmtId="167" fontId="25" fillId="8" borderId="4" xfId="2" applyNumberFormat="1" applyFont="1" applyFill="1" applyBorder="1"/>
    <xf numFmtId="169" fontId="2" fillId="28" borderId="0" xfId="0" applyNumberFormat="1" applyFont="1" applyFill="1" applyAlignment="1">
      <alignment horizontal="center"/>
    </xf>
    <xf numFmtId="165" fontId="2" fillId="8" borderId="0" xfId="2" applyNumberFormat="1" applyFont="1" applyFill="1" applyAlignment="1">
      <alignment horizontal="right"/>
    </xf>
    <xf numFmtId="165" fontId="25" fillId="8" borderId="0" xfId="2" applyNumberFormat="1" applyFont="1" applyFill="1" applyAlignment="1">
      <alignment horizontal="right"/>
    </xf>
    <xf numFmtId="165" fontId="25" fillId="8" borderId="4" xfId="2" applyNumberFormat="1" applyFont="1" applyFill="1" applyBorder="1" applyAlignment="1">
      <alignment horizontal="right"/>
    </xf>
    <xf numFmtId="165" fontId="25" fillId="8" borderId="2" xfId="2" applyNumberFormat="1" applyFont="1" applyFill="1" applyBorder="1" applyAlignment="1">
      <alignment horizontal="right"/>
    </xf>
    <xf numFmtId="165" fontId="26" fillId="8" borderId="0" xfId="2" applyNumberFormat="1" applyFont="1" applyFill="1" applyAlignment="1">
      <alignment horizontal="right"/>
    </xf>
    <xf numFmtId="165" fontId="26" fillId="8" borderId="1" xfId="2" applyNumberFormat="1" applyFont="1" applyFill="1" applyBorder="1" applyAlignment="1">
      <alignment horizontal="right"/>
    </xf>
    <xf numFmtId="165" fontId="25" fillId="8" borderId="5" xfId="2" applyNumberFormat="1" applyFont="1" applyFill="1" applyBorder="1" applyAlignment="1">
      <alignment horizontal="right"/>
    </xf>
    <xf numFmtId="165" fontId="25" fillId="8" borderId="1" xfId="2" applyNumberFormat="1" applyFont="1" applyFill="1" applyBorder="1" applyAlignment="1">
      <alignment horizontal="right"/>
    </xf>
    <xf numFmtId="169" fontId="25" fillId="8" borderId="4" xfId="0" applyNumberFormat="1" applyFont="1" applyFill="1" applyBorder="1" applyAlignment="1">
      <alignment horizontal="left" indent="1"/>
    </xf>
    <xf numFmtId="169" fontId="25" fillId="8" borderId="2" xfId="0" applyNumberFormat="1" applyFont="1" applyFill="1" applyBorder="1" applyAlignment="1">
      <alignment horizontal="left" indent="1"/>
    </xf>
    <xf numFmtId="169" fontId="26" fillId="8" borderId="1" xfId="0" applyNumberFormat="1" applyFont="1" applyFill="1" applyBorder="1"/>
    <xf numFmtId="169" fontId="25" fillId="8" borderId="1" xfId="0" applyNumberFormat="1" applyFont="1" applyFill="1" applyBorder="1" applyAlignment="1">
      <alignment horizontal="left" indent="1"/>
    </xf>
    <xf numFmtId="169" fontId="2" fillId="2" borderId="0" xfId="0" applyNumberFormat="1" applyFont="1" applyFill="1" applyAlignment="1">
      <alignment horizontal="left"/>
    </xf>
    <xf numFmtId="169" fontId="4" fillId="0" borderId="0" xfId="0" applyNumberFormat="1" applyFont="1" applyAlignment="1">
      <alignment horizontal="left"/>
    </xf>
    <xf numFmtId="169" fontId="4" fillId="0" borderId="2" xfId="0" applyNumberFormat="1" applyFont="1" applyBorder="1"/>
    <xf numFmtId="169" fontId="25" fillId="8" borderId="4" xfId="0" applyNumberFormat="1" applyFont="1" applyFill="1" applyBorder="1" applyAlignment="1">
      <alignment horizontal="left"/>
    </xf>
    <xf numFmtId="165" fontId="25" fillId="8" borderId="4" xfId="2" applyNumberFormat="1" applyFont="1" applyFill="1" applyBorder="1" applyAlignment="1">
      <alignment horizontal="left"/>
    </xf>
    <xf numFmtId="169" fontId="25" fillId="8" borderId="38" xfId="0" applyNumberFormat="1" applyFont="1" applyFill="1" applyBorder="1" applyAlignment="1">
      <alignment horizontal="left" indent="1"/>
    </xf>
    <xf numFmtId="165" fontId="25" fillId="8" borderId="38" xfId="2" applyNumberFormat="1" applyFont="1" applyFill="1" applyBorder="1" applyAlignment="1">
      <alignment horizontal="right"/>
    </xf>
    <xf numFmtId="169" fontId="26" fillId="8" borderId="4" xfId="0" applyNumberFormat="1" applyFont="1" applyFill="1" applyBorder="1" applyAlignment="1">
      <alignment horizontal="left"/>
    </xf>
    <xf numFmtId="169" fontId="4" fillId="28" borderId="0" xfId="0" applyNumberFormat="1" applyFont="1" applyFill="1"/>
    <xf numFmtId="169" fontId="110" fillId="0" borderId="0" xfId="0" quotePrefix="1" applyNumberFormat="1" applyFont="1"/>
    <xf numFmtId="169" fontId="0" fillId="0" borderId="0" xfId="0" applyNumberFormat="1" applyAlignment="1">
      <alignment horizontal="left"/>
    </xf>
    <xf numFmtId="165" fontId="25" fillId="8" borderId="50" xfId="2" applyNumberFormat="1" applyFont="1" applyFill="1" applyBorder="1" applyAlignment="1">
      <alignment horizontal="right"/>
    </xf>
    <xf numFmtId="165" fontId="25" fillId="8" borderId="51" xfId="2" applyNumberFormat="1" applyFont="1" applyFill="1" applyBorder="1" applyAlignment="1">
      <alignment horizontal="right"/>
    </xf>
    <xf numFmtId="165" fontId="26" fillId="8" borderId="50" xfId="2" applyNumberFormat="1" applyFont="1" applyFill="1" applyBorder="1" applyAlignment="1">
      <alignment horizontal="right"/>
    </xf>
    <xf numFmtId="169" fontId="0" fillId="0" borderId="2" xfId="0" applyNumberFormat="1" applyBorder="1"/>
    <xf numFmtId="169" fontId="69" fillId="18" borderId="0" xfId="0" applyNumberFormat="1" applyFont="1" applyFill="1"/>
    <xf numFmtId="169" fontId="111" fillId="29" borderId="0" xfId="0" applyNumberFormat="1" applyFont="1" applyFill="1"/>
    <xf numFmtId="169" fontId="111" fillId="0" borderId="0" xfId="0" applyNumberFormat="1" applyFont="1"/>
    <xf numFmtId="169" fontId="112" fillId="29" borderId="2" xfId="0" applyNumberFormat="1" applyFont="1" applyFill="1" applyBorder="1"/>
    <xf numFmtId="169" fontId="111" fillId="29" borderId="2" xfId="0" applyNumberFormat="1" applyFont="1" applyFill="1" applyBorder="1"/>
    <xf numFmtId="169" fontId="113" fillId="29" borderId="0" xfId="0" applyNumberFormat="1" applyFont="1" applyFill="1"/>
    <xf numFmtId="169" fontId="113" fillId="29" borderId="0" xfId="0" applyNumberFormat="1" applyFont="1" applyFill="1" applyAlignment="1">
      <alignment horizontal="right"/>
    </xf>
    <xf numFmtId="169" fontId="113" fillId="29" borderId="2" xfId="0" applyNumberFormat="1" applyFont="1" applyFill="1" applyBorder="1"/>
    <xf numFmtId="1" fontId="113" fillId="29" borderId="2" xfId="0" applyNumberFormat="1" applyFont="1" applyFill="1" applyBorder="1" applyAlignment="1">
      <alignment horizontal="right"/>
    </xf>
    <xf numFmtId="169" fontId="111" fillId="29" borderId="8" xfId="0" applyNumberFormat="1" applyFont="1" applyFill="1" applyBorder="1"/>
    <xf numFmtId="171" fontId="111" fillId="29" borderId="4" xfId="0" applyNumberFormat="1" applyFont="1" applyFill="1" applyBorder="1" applyAlignment="1">
      <alignment horizontal="right"/>
    </xf>
    <xf numFmtId="165" fontId="111" fillId="29" borderId="4" xfId="2" applyNumberFormat="1" applyFont="1" applyFill="1" applyBorder="1" applyAlignment="1">
      <alignment horizontal="right"/>
    </xf>
    <xf numFmtId="169" fontId="111" fillId="0" borderId="0" xfId="0" applyNumberFormat="1" applyFont="1" applyAlignment="1">
      <alignment horizontal="right"/>
    </xf>
    <xf numFmtId="169" fontId="111" fillId="29" borderId="37" xfId="0" applyNumberFormat="1" applyFont="1" applyFill="1" applyBorder="1"/>
    <xf numFmtId="165" fontId="111" fillId="29" borderId="22" xfId="2" applyNumberFormat="1" applyFont="1" applyFill="1" applyBorder="1" applyAlignment="1">
      <alignment horizontal="right"/>
    </xf>
    <xf numFmtId="165" fontId="113" fillId="29" borderId="0" xfId="2" applyNumberFormat="1" applyFont="1" applyFill="1" applyAlignment="1">
      <alignment horizontal="right"/>
    </xf>
    <xf numFmtId="165" fontId="25" fillId="11" borderId="50" xfId="2" applyNumberFormat="1" applyFont="1" applyFill="1" applyBorder="1" applyAlignment="1">
      <alignment horizontal="right"/>
    </xf>
    <xf numFmtId="165" fontId="25" fillId="11" borderId="51" xfId="2" applyNumberFormat="1" applyFont="1" applyFill="1" applyBorder="1" applyAlignment="1">
      <alignment horizontal="right"/>
    </xf>
    <xf numFmtId="165" fontId="26" fillId="11" borderId="50" xfId="2" applyNumberFormat="1" applyFont="1" applyFill="1" applyBorder="1" applyAlignment="1">
      <alignment horizontal="right"/>
    </xf>
    <xf numFmtId="167" fontId="25" fillId="11" borderId="0" xfId="2" applyNumberFormat="1" applyFont="1" applyFill="1" applyAlignment="1">
      <alignment horizontal="left"/>
    </xf>
    <xf numFmtId="167" fontId="25" fillId="11" borderId="0" xfId="2" applyNumberFormat="1" applyFont="1" applyFill="1" applyAlignment="1">
      <alignment horizontal="right"/>
    </xf>
    <xf numFmtId="165" fontId="25" fillId="15" borderId="4" xfId="2" applyNumberFormat="1" applyFont="1" applyFill="1" applyBorder="1" applyAlignment="1">
      <alignment horizontal="left"/>
    </xf>
    <xf numFmtId="0" fontId="97" fillId="0" borderId="0" xfId="0" applyFont="1"/>
    <xf numFmtId="168" fontId="51" fillId="11" borderId="0" xfId="1" applyNumberFormat="1" applyFont="1" applyFill="1"/>
    <xf numFmtId="168" fontId="51" fillId="11" borderId="2" xfId="1" applyNumberFormat="1" applyFont="1" applyFill="1" applyBorder="1"/>
    <xf numFmtId="168" fontId="53" fillId="11" borderId="0" xfId="1" applyNumberFormat="1" applyFont="1" applyFill="1"/>
    <xf numFmtId="0" fontId="0" fillId="3" borderId="0" xfId="0" applyFill="1" applyAlignment="1">
      <alignment horizontal="left"/>
    </xf>
    <xf numFmtId="168" fontId="51" fillId="8" borderId="0" xfId="1" applyNumberFormat="1" applyFont="1" applyFill="1"/>
    <xf numFmtId="168" fontId="51" fillId="8" borderId="2" xfId="1" applyNumberFormat="1" applyFont="1" applyFill="1" applyBorder="1"/>
    <xf numFmtId="168" fontId="53" fillId="8" borderId="0" xfId="1" applyNumberFormat="1" applyFont="1" applyFill="1"/>
    <xf numFmtId="167" fontId="27" fillId="18" borderId="0" xfId="2" applyNumberFormat="1" applyFont="1" applyFill="1" applyAlignment="1">
      <alignment horizontal="left" vertical="top"/>
    </xf>
    <xf numFmtId="166" fontId="58" fillId="8" borderId="0" xfId="2" applyNumberFormat="1" applyFont="1" applyFill="1" applyAlignment="1">
      <alignment horizontal="left"/>
    </xf>
    <xf numFmtId="166" fontId="58" fillId="8" borderId="0" xfId="2" applyNumberFormat="1" applyFont="1" applyFill="1" applyAlignment="1">
      <alignment horizontal="right"/>
    </xf>
    <xf numFmtId="174" fontId="32" fillId="7" borderId="24" xfId="0" applyNumberFormat="1" applyFont="1" applyFill="1" applyBorder="1" applyAlignment="1">
      <alignment horizontal="centerContinuous" vertical="center"/>
    </xf>
    <xf numFmtId="174" fontId="32" fillId="7" borderId="23" xfId="0" applyNumberFormat="1" applyFont="1" applyFill="1" applyBorder="1" applyAlignment="1">
      <alignment horizontal="centerContinuous" vertical="center"/>
    </xf>
    <xf numFmtId="169" fontId="117" fillId="0" borderId="0" xfId="0" applyNumberFormat="1" applyFont="1" applyAlignment="1">
      <alignment horizontal="centerContinuous"/>
    </xf>
    <xf numFmtId="169" fontId="4" fillId="0" borderId="0" xfId="0" applyNumberFormat="1" applyFont="1" applyAlignment="1">
      <alignment horizontal="centerContinuous"/>
    </xf>
    <xf numFmtId="169" fontId="32" fillId="12" borderId="0" xfId="0" applyNumberFormat="1" applyFont="1" applyFill="1"/>
    <xf numFmtId="169" fontId="39" fillId="0" borderId="0" xfId="0" applyNumberFormat="1" applyFont="1"/>
    <xf numFmtId="0" fontId="0" fillId="3" borderId="0" xfId="0" applyFill="1"/>
    <xf numFmtId="0" fontId="116" fillId="3" borderId="0" xfId="0" applyFont="1" applyFill="1"/>
    <xf numFmtId="0" fontId="0" fillId="3" borderId="2" xfId="0" applyFill="1" applyBorder="1"/>
    <xf numFmtId="0" fontId="0" fillId="3" borderId="13" xfId="0" applyFill="1" applyBorder="1"/>
    <xf numFmtId="0" fontId="0" fillId="3" borderId="7" xfId="0" applyFill="1" applyBorder="1" applyAlignment="1">
      <alignment horizontal="left"/>
    </xf>
    <xf numFmtId="0" fontId="0" fillId="3" borderId="7" xfId="0" applyFill="1" applyBorder="1"/>
    <xf numFmtId="0" fontId="0" fillId="3" borderId="14" xfId="0" applyFill="1" applyBorder="1"/>
    <xf numFmtId="0" fontId="0" fillId="3" borderId="20" xfId="0" applyFill="1" applyBorder="1"/>
    <xf numFmtId="0" fontId="97" fillId="3" borderId="2" xfId="0" applyFont="1" applyFill="1" applyBorder="1" applyAlignment="1">
      <alignment horizontal="left"/>
    </xf>
    <xf numFmtId="0" fontId="0" fillId="3" borderId="21" xfId="0" applyFill="1" applyBorder="1"/>
    <xf numFmtId="2" fontId="0" fillId="3" borderId="0" xfId="0" applyNumberFormat="1" applyFill="1" applyAlignment="1">
      <alignment horizontal="left"/>
    </xf>
    <xf numFmtId="0" fontId="103" fillId="3" borderId="20" xfId="0" applyFont="1" applyFill="1" applyBorder="1"/>
    <xf numFmtId="0" fontId="68" fillId="3" borderId="0" xfId="0" applyFont="1" applyFill="1" applyAlignment="1">
      <alignment horizontal="left"/>
    </xf>
    <xf numFmtId="0" fontId="94" fillId="3" borderId="0" xfId="0" applyFont="1" applyFill="1" applyAlignment="1">
      <alignment horizontal="left"/>
    </xf>
    <xf numFmtId="0" fontId="0" fillId="3" borderId="15" xfId="0" applyFill="1" applyBorder="1"/>
    <xf numFmtId="0" fontId="0" fillId="3" borderId="2" xfId="0" applyFill="1" applyBorder="1" applyAlignment="1">
      <alignment horizontal="left"/>
    </xf>
    <xf numFmtId="0" fontId="0" fillId="3" borderId="16" xfId="0" applyFill="1" applyBorder="1"/>
    <xf numFmtId="0" fontId="50" fillId="3" borderId="20" xfId="0" applyFont="1" applyFill="1" applyBorder="1"/>
    <xf numFmtId="0" fontId="68" fillId="3" borderId="20" xfId="0" applyFont="1" applyFill="1" applyBorder="1"/>
    <xf numFmtId="0" fontId="103" fillId="3" borderId="0" xfId="0" applyFont="1" applyFill="1"/>
    <xf numFmtId="0" fontId="103" fillId="3" borderId="21" xfId="0" applyFont="1" applyFill="1" applyBorder="1"/>
    <xf numFmtId="0" fontId="50" fillId="3" borderId="15" xfId="0" applyFont="1" applyFill="1" applyBorder="1"/>
    <xf numFmtId="169" fontId="120" fillId="0" borderId="2" xfId="0" applyNumberFormat="1" applyFont="1" applyBorder="1"/>
    <xf numFmtId="167" fontId="25" fillId="11" borderId="4" xfId="2" applyNumberFormat="1" applyFont="1" applyFill="1" applyBorder="1" applyAlignment="1">
      <alignment horizontal="right" vertical="center"/>
    </xf>
    <xf numFmtId="167" fontId="58" fillId="11" borderId="2" xfId="2" applyNumberFormat="1" applyFont="1" applyFill="1" applyBorder="1" applyAlignment="1">
      <alignment horizontal="right"/>
    </xf>
    <xf numFmtId="169" fontId="58" fillId="11" borderId="0" xfId="0" quotePrefix="1" applyNumberFormat="1" applyFont="1" applyFill="1"/>
    <xf numFmtId="166" fontId="58" fillId="11" borderId="0" xfId="2" applyNumberFormat="1" applyFont="1" applyFill="1"/>
    <xf numFmtId="166" fontId="62" fillId="11" borderId="0" xfId="2" applyNumberFormat="1" applyFont="1" applyFill="1" applyAlignment="1">
      <alignment vertical="top"/>
    </xf>
    <xf numFmtId="167" fontId="58" fillId="11" borderId="2" xfId="2" applyNumberFormat="1" applyFont="1" applyFill="1" applyBorder="1"/>
    <xf numFmtId="167" fontId="25" fillId="8" borderId="4" xfId="2" applyNumberFormat="1" applyFont="1" applyFill="1" applyBorder="1" applyAlignment="1">
      <alignment horizontal="right" vertical="center"/>
    </xf>
    <xf numFmtId="167" fontId="25" fillId="8" borderId="5" xfId="2" applyNumberFormat="1" applyFont="1" applyFill="1" applyBorder="1" applyAlignment="1">
      <alignment horizontal="right" vertical="center"/>
    </xf>
    <xf numFmtId="169" fontId="0" fillId="3" borderId="0" xfId="0" applyNumberFormat="1" applyFill="1"/>
    <xf numFmtId="169" fontId="97" fillId="3" borderId="0" xfId="0" applyNumberFormat="1" applyFont="1" applyFill="1"/>
    <xf numFmtId="169" fontId="0" fillId="0" borderId="53" xfId="0" applyNumberFormat="1" applyBorder="1"/>
    <xf numFmtId="169" fontId="0" fillId="0" borderId="10" xfId="0" applyNumberFormat="1" applyBorder="1"/>
    <xf numFmtId="169" fontId="0" fillId="0" borderId="54" xfId="0" applyNumberFormat="1" applyBorder="1"/>
    <xf numFmtId="169" fontId="98" fillId="0" borderId="55" xfId="0" applyNumberFormat="1" applyFont="1" applyBorder="1"/>
    <xf numFmtId="169" fontId="99" fillId="0" borderId="56" xfId="0" applyNumberFormat="1" applyFont="1" applyBorder="1"/>
    <xf numFmtId="169" fontId="87" fillId="0" borderId="57" xfId="0" applyNumberFormat="1" applyFont="1" applyBorder="1"/>
    <xf numFmtId="169" fontId="100" fillId="0" borderId="58" xfId="0" applyNumberFormat="1" applyFont="1" applyBorder="1"/>
    <xf numFmtId="169" fontId="50" fillId="0" borderId="57" xfId="0" applyNumberFormat="1" applyFont="1" applyBorder="1"/>
    <xf numFmtId="169" fontId="50" fillId="0" borderId="58" xfId="0" applyNumberFormat="1" applyFont="1" applyBorder="1"/>
    <xf numFmtId="169" fontId="0" fillId="0" borderId="57" xfId="0" applyNumberFormat="1" applyBorder="1"/>
    <xf numFmtId="169" fontId="0" fillId="0" borderId="58" xfId="0" applyNumberFormat="1" applyBorder="1"/>
    <xf numFmtId="169" fontId="49" fillId="0" borderId="57" xfId="0" applyNumberFormat="1" applyFont="1" applyBorder="1" applyAlignment="1">
      <alignment horizontal="right"/>
    </xf>
    <xf numFmtId="169" fontId="49" fillId="0" borderId="58" xfId="0" applyNumberFormat="1" applyFont="1" applyBorder="1" applyAlignment="1">
      <alignment horizontal="right"/>
    </xf>
    <xf numFmtId="1" fontId="49" fillId="0" borderId="57" xfId="0" applyNumberFormat="1" applyFont="1" applyBorder="1" applyAlignment="1">
      <alignment horizontal="right"/>
    </xf>
    <xf numFmtId="1" fontId="49" fillId="0" borderId="58" xfId="0" applyNumberFormat="1" applyFont="1" applyBorder="1" applyAlignment="1">
      <alignment horizontal="right"/>
    </xf>
    <xf numFmtId="167" fontId="49" fillId="0" borderId="57" xfId="2" applyNumberFormat="1" applyFont="1" applyBorder="1"/>
    <xf numFmtId="167" fontId="38" fillId="14" borderId="0" xfId="2" applyNumberFormat="1" applyFont="1" applyFill="1" applyBorder="1"/>
    <xf numFmtId="169" fontId="49" fillId="0" borderId="58" xfId="0" applyNumberFormat="1" applyFont="1" applyBorder="1"/>
    <xf numFmtId="167" fontId="39" fillId="14" borderId="0" xfId="2" applyNumberFormat="1" applyFont="1" applyFill="1" applyBorder="1"/>
    <xf numFmtId="167" fontId="49" fillId="0" borderId="0" xfId="2" applyNumberFormat="1" applyFont="1" applyBorder="1"/>
    <xf numFmtId="167" fontId="49" fillId="0" borderId="59" xfId="2" applyNumberFormat="1" applyFont="1" applyBorder="1"/>
    <xf numFmtId="167" fontId="49" fillId="0" borderId="1" xfId="2" applyNumberFormat="1" applyFont="1" applyBorder="1"/>
    <xf numFmtId="169" fontId="49" fillId="0" borderId="1" xfId="0" applyNumberFormat="1" applyFont="1" applyBorder="1"/>
    <xf numFmtId="169" fontId="49" fillId="0" borderId="60" xfId="0" applyNumberFormat="1" applyFont="1" applyBorder="1"/>
    <xf numFmtId="169" fontId="121" fillId="13" borderId="0" xfId="3" applyNumberFormat="1" applyFont="1" applyFill="1" applyAlignment="1">
      <alignment horizontal="right"/>
    </xf>
    <xf numFmtId="1" fontId="121" fillId="13" borderId="0" xfId="3" applyNumberFormat="1" applyFont="1" applyFill="1" applyAlignment="1">
      <alignment horizontal="right"/>
    </xf>
    <xf numFmtId="169" fontId="121" fillId="13" borderId="2" xfId="3" applyNumberFormat="1" applyFont="1" applyFill="1" applyBorder="1" applyAlignment="1">
      <alignment horizontal="right"/>
    </xf>
    <xf numFmtId="167" fontId="122" fillId="14" borderId="0" xfId="2" applyNumberFormat="1" applyFont="1" applyFill="1"/>
    <xf numFmtId="167" fontId="122" fillId="14" borderId="2" xfId="2" applyNumberFormat="1" applyFont="1" applyFill="1" applyBorder="1"/>
    <xf numFmtId="167" fontId="123" fillId="14" borderId="0" xfId="2" applyNumberFormat="1" applyFont="1" applyFill="1"/>
    <xf numFmtId="169" fontId="121" fillId="25" borderId="0" xfId="0" applyNumberFormat="1" applyFont="1" applyFill="1" applyAlignment="1">
      <alignment horizontal="right" vertical="top" wrapText="1"/>
    </xf>
    <xf numFmtId="1" fontId="121" fillId="25" borderId="0" xfId="3" applyNumberFormat="1" applyFont="1" applyFill="1" applyAlignment="1">
      <alignment horizontal="right"/>
    </xf>
    <xf numFmtId="169" fontId="121" fillId="25" borderId="0" xfId="3" applyNumberFormat="1" applyFont="1" applyFill="1" applyAlignment="1">
      <alignment horizontal="right"/>
    </xf>
    <xf numFmtId="167" fontId="124" fillId="26" borderId="0" xfId="2" applyNumberFormat="1" applyFont="1" applyFill="1"/>
    <xf numFmtId="167" fontId="124" fillId="24" borderId="0" xfId="2" applyNumberFormat="1" applyFont="1" applyFill="1"/>
    <xf numFmtId="167" fontId="124" fillId="24" borderId="2" xfId="2" applyNumberFormat="1" applyFont="1" applyFill="1" applyBorder="1"/>
    <xf numFmtId="169" fontId="3" fillId="0" borderId="0" xfId="0" quotePrefix="1" applyNumberFormat="1" applyFont="1"/>
    <xf numFmtId="165" fontId="114" fillId="0" borderId="0" xfId="2" applyNumberFormat="1" applyFont="1" applyAlignment="1">
      <alignment horizontal="right"/>
    </xf>
    <xf numFmtId="165" fontId="114" fillId="0" borderId="4" xfId="2" applyNumberFormat="1" applyFont="1" applyBorder="1" applyAlignment="1">
      <alignment horizontal="right"/>
    </xf>
    <xf numFmtId="165" fontId="115" fillId="0" borderId="0" xfId="2" applyNumberFormat="1" applyFont="1" applyAlignment="1">
      <alignment horizontal="right"/>
    </xf>
    <xf numFmtId="167" fontId="3" fillId="0" borderId="0" xfId="2" applyNumberFormat="1" applyFont="1" applyFill="1" applyAlignment="1">
      <alignment horizontal="right"/>
    </xf>
    <xf numFmtId="167" fontId="119" fillId="0" borderId="0" xfId="2" applyNumberFormat="1" applyFont="1" applyFill="1" applyAlignment="1">
      <alignment horizontal="right"/>
    </xf>
    <xf numFmtId="167" fontId="127" fillId="3" borderId="0" xfId="2" applyNumberFormat="1" applyFont="1" applyFill="1"/>
    <xf numFmtId="167" fontId="32" fillId="8" borderId="49" xfId="2" applyNumberFormat="1" applyFont="1" applyFill="1" applyBorder="1" applyAlignment="1">
      <alignment horizontal="right"/>
    </xf>
    <xf numFmtId="167" fontId="3" fillId="8" borderId="0" xfId="2" applyNumberFormat="1" applyFont="1" applyFill="1" applyBorder="1" applyAlignment="1">
      <alignment horizontal="right"/>
    </xf>
    <xf numFmtId="167" fontId="3" fillId="18" borderId="0" xfId="2" applyNumberFormat="1" applyFont="1" applyFill="1" applyBorder="1" applyAlignment="1">
      <alignment horizontal="right"/>
    </xf>
    <xf numFmtId="167" fontId="3" fillId="11" borderId="0" xfId="2" applyNumberFormat="1" applyFont="1" applyFill="1" applyAlignment="1">
      <alignment horizontal="right"/>
    </xf>
    <xf numFmtId="167" fontId="32" fillId="11" borderId="0" xfId="2" applyNumberFormat="1" applyFont="1" applyFill="1" applyAlignment="1">
      <alignment horizontal="right"/>
    </xf>
    <xf numFmtId="167" fontId="3" fillId="11" borderId="0" xfId="2" applyNumberFormat="1" applyFont="1" applyFill="1" applyBorder="1" applyAlignment="1">
      <alignment horizontal="right"/>
    </xf>
    <xf numFmtId="167" fontId="32" fillId="11" borderId="49" xfId="2" applyNumberFormat="1" applyFont="1" applyFill="1" applyBorder="1" applyAlignment="1">
      <alignment horizontal="right"/>
    </xf>
    <xf numFmtId="172" fontId="15" fillId="6" borderId="0" xfId="2" applyNumberFormat="1" applyFont="1" applyFill="1" applyAlignment="1">
      <alignment horizontal="centerContinuous" vertical="top"/>
    </xf>
    <xf numFmtId="167" fontId="2" fillId="0" borderId="42" xfId="2" applyNumberFormat="1" applyFont="1" applyBorder="1" applyAlignment="1">
      <alignment horizontal="right" vertical="center"/>
    </xf>
    <xf numFmtId="166" fontId="2" fillId="0" borderId="42" xfId="2" applyNumberFormat="1" applyFont="1" applyBorder="1" applyAlignment="1">
      <alignment horizontal="right" vertical="center"/>
    </xf>
    <xf numFmtId="169" fontId="130" fillId="3" borderId="29" xfId="0" applyNumberFormat="1" applyFont="1" applyFill="1" applyBorder="1" applyAlignment="1">
      <alignment vertical="center"/>
    </xf>
    <xf numFmtId="168" fontId="32" fillId="8" borderId="0" xfId="1" applyNumberFormat="1" applyFont="1" applyFill="1" applyAlignment="1">
      <alignment horizontal="right"/>
    </xf>
    <xf numFmtId="167" fontId="88" fillId="11" borderId="0" xfId="2" applyNumberFormat="1" applyFont="1" applyFill="1" applyAlignment="1">
      <alignment horizontal="right"/>
    </xf>
    <xf numFmtId="167" fontId="32" fillId="6" borderId="0" xfId="2" applyNumberFormat="1" applyFont="1" applyFill="1" applyAlignment="1">
      <alignment horizontal="right"/>
    </xf>
    <xf numFmtId="169" fontId="28" fillId="10" borderId="2" xfId="0" applyNumberFormat="1" applyFont="1" applyFill="1" applyBorder="1" applyAlignment="1">
      <alignment horizontal="right"/>
    </xf>
    <xf numFmtId="168" fontId="24" fillId="8" borderId="0" xfId="1" applyNumberFormat="1" applyFont="1" applyFill="1" applyAlignment="1">
      <alignment horizontal="right"/>
    </xf>
    <xf numFmtId="168" fontId="24" fillId="8" borderId="2" xfId="1" applyNumberFormat="1" applyFont="1" applyFill="1" applyBorder="1" applyAlignment="1">
      <alignment horizontal="right"/>
    </xf>
    <xf numFmtId="169" fontId="3" fillId="11" borderId="0" xfId="0" quotePrefix="1" applyNumberFormat="1" applyFont="1" applyFill="1"/>
    <xf numFmtId="169" fontId="32" fillId="11" borderId="49" xfId="0" quotePrefix="1" applyNumberFormat="1" applyFont="1" applyFill="1" applyBorder="1"/>
    <xf numFmtId="169" fontId="109" fillId="31" borderId="0" xfId="0" applyNumberFormat="1" applyFont="1" applyFill="1"/>
    <xf numFmtId="169" fontId="69" fillId="31" borderId="0" xfId="0" applyNumberFormat="1" applyFont="1" applyFill="1"/>
    <xf numFmtId="167" fontId="25" fillId="5" borderId="4" xfId="2" applyNumberFormat="1" applyFont="1" applyFill="1" applyBorder="1" applyAlignment="1">
      <alignment horizontal="right" vertical="top"/>
    </xf>
    <xf numFmtId="167" fontId="3" fillId="5" borderId="0" xfId="2" applyNumberFormat="1" applyFont="1" applyFill="1" applyAlignment="1">
      <alignment horizontal="right" vertical="top"/>
    </xf>
    <xf numFmtId="169" fontId="3" fillId="15" borderId="0" xfId="0" applyNumberFormat="1" applyFont="1" applyFill="1"/>
    <xf numFmtId="169" fontId="3" fillId="15" borderId="0" xfId="0" applyNumberFormat="1" applyFont="1" applyFill="1" applyAlignment="1">
      <alignment horizontal="center"/>
    </xf>
    <xf numFmtId="169" fontId="3" fillId="15" borderId="0" xfId="0" applyNumberFormat="1" applyFont="1" applyFill="1" applyAlignment="1">
      <alignment horizontal="right"/>
    </xf>
    <xf numFmtId="169" fontId="133" fillId="0" borderId="4" xfId="0" applyNumberFormat="1" applyFont="1" applyBorder="1" applyAlignment="1">
      <alignment horizontal="left" indent="1"/>
    </xf>
    <xf numFmtId="165" fontId="133" fillId="0" borderId="4" xfId="0" applyNumberFormat="1" applyFont="1" applyBorder="1" applyAlignment="1">
      <alignment horizontal="left"/>
    </xf>
    <xf numFmtId="173" fontId="25" fillId="8" borderId="4" xfId="0" applyNumberFormat="1" applyFont="1" applyFill="1" applyBorder="1" applyAlignment="1">
      <alignment horizontal="right"/>
    </xf>
    <xf numFmtId="173" fontId="25" fillId="11" borderId="4" xfId="0" applyNumberFormat="1" applyFont="1" applyFill="1" applyBorder="1" applyAlignment="1">
      <alignment horizontal="right"/>
    </xf>
    <xf numFmtId="165" fontId="2" fillId="4" borderId="4" xfId="0" applyNumberFormat="1" applyFont="1" applyFill="1" applyBorder="1"/>
    <xf numFmtId="165" fontId="2" fillId="3" borderId="4" xfId="0" applyNumberFormat="1" applyFont="1" applyFill="1" applyBorder="1"/>
    <xf numFmtId="165" fontId="133" fillId="3" borderId="4" xfId="0" applyNumberFormat="1" applyFont="1" applyFill="1" applyBorder="1"/>
    <xf numFmtId="165" fontId="133" fillId="4" borderId="4" xfId="0" applyNumberFormat="1" applyFont="1" applyFill="1" applyBorder="1"/>
    <xf numFmtId="165" fontId="133" fillId="4" borderId="4" xfId="2" applyNumberFormat="1" applyFont="1" applyFill="1" applyBorder="1"/>
    <xf numFmtId="165" fontId="133" fillId="3" borderId="4" xfId="2" applyNumberFormat="1" applyFont="1" applyFill="1" applyBorder="1"/>
    <xf numFmtId="165" fontId="2" fillId="4" borderId="9" xfId="2" applyNumberFormat="1" applyFont="1" applyFill="1" applyBorder="1"/>
    <xf numFmtId="165" fontId="2" fillId="0" borderId="9" xfId="2" applyNumberFormat="1" applyFont="1" applyBorder="1"/>
    <xf numFmtId="165" fontId="133" fillId="4" borderId="9" xfId="2" applyNumberFormat="1" applyFont="1" applyFill="1" applyBorder="1"/>
    <xf numFmtId="165" fontId="133" fillId="0" borderId="9" xfId="2" applyNumberFormat="1" applyFont="1" applyBorder="1"/>
    <xf numFmtId="169" fontId="51" fillId="0" borderId="0" xfId="0" applyNumberFormat="1" applyFont="1" applyAlignment="1">
      <alignment horizontal="left" vertical="center"/>
    </xf>
    <xf numFmtId="169" fontId="3" fillId="12" borderId="0" xfId="0" applyNumberFormat="1" applyFont="1" applyFill="1" applyAlignment="1">
      <alignment vertical="top"/>
    </xf>
    <xf numFmtId="169" fontId="3" fillId="12" borderId="0" xfId="0" applyNumberFormat="1" applyFont="1" applyFill="1" applyAlignment="1">
      <alignment horizontal="right" vertical="top"/>
    </xf>
    <xf numFmtId="169" fontId="101" fillId="31" borderId="2" xfId="0" applyNumberFormat="1" applyFont="1" applyFill="1" applyBorder="1"/>
    <xf numFmtId="169" fontId="69" fillId="31" borderId="0" xfId="0" quotePrefix="1" applyNumberFormat="1" applyFont="1" applyFill="1"/>
    <xf numFmtId="169" fontId="1" fillId="11" borderId="8" xfId="0" applyNumberFormat="1" applyFont="1" applyFill="1" applyBorder="1" applyAlignment="1">
      <alignment horizontal="left" vertical="top"/>
    </xf>
    <xf numFmtId="169" fontId="1" fillId="11" borderId="8" xfId="0" applyNumberFormat="1" applyFont="1" applyFill="1" applyBorder="1" applyAlignment="1">
      <alignment horizontal="right" vertical="top"/>
    </xf>
    <xf numFmtId="167" fontId="1" fillId="11" borderId="8" xfId="2" applyNumberFormat="1" applyFont="1" applyFill="1" applyBorder="1" applyAlignment="1">
      <alignment horizontal="right" vertical="top"/>
    </xf>
    <xf numFmtId="167" fontId="78" fillId="18" borderId="8" xfId="2" applyNumberFormat="1" applyFont="1" applyFill="1" applyBorder="1" applyAlignment="1">
      <alignment horizontal="right" vertical="top"/>
    </xf>
    <xf numFmtId="167" fontId="78" fillId="18" borderId="9" xfId="2" applyNumberFormat="1" applyFont="1" applyFill="1" applyBorder="1" applyAlignment="1">
      <alignment horizontal="right" vertical="top"/>
    </xf>
    <xf numFmtId="167" fontId="79" fillId="18" borderId="11" xfId="2" applyNumberFormat="1" applyFont="1" applyFill="1" applyBorder="1" applyAlignment="1">
      <alignment horizontal="right" vertical="top"/>
    </xf>
    <xf numFmtId="167" fontId="79" fillId="18" borderId="0" xfId="2" applyNumberFormat="1" applyFont="1" applyFill="1" applyAlignment="1">
      <alignment horizontal="right" vertical="top" wrapText="1"/>
    </xf>
    <xf numFmtId="167" fontId="78" fillId="18" borderId="27" xfId="2" applyNumberFormat="1" applyFont="1" applyFill="1" applyBorder="1" applyAlignment="1">
      <alignment horizontal="right" vertical="top"/>
    </xf>
    <xf numFmtId="167" fontId="135" fillId="18" borderId="0" xfId="2" applyNumberFormat="1" applyFont="1" applyFill="1" applyAlignment="1">
      <alignment horizontal="right" vertical="top"/>
    </xf>
    <xf numFmtId="167" fontId="79" fillId="18" borderId="10" xfId="2" applyNumberFormat="1" applyFont="1" applyFill="1" applyBorder="1" applyAlignment="1">
      <alignment horizontal="right" vertical="top"/>
    </xf>
    <xf numFmtId="167" fontId="78" fillId="18" borderId="4" xfId="2" applyNumberFormat="1" applyFont="1" applyFill="1" applyBorder="1" applyAlignment="1">
      <alignment horizontal="right" vertical="top"/>
    </xf>
    <xf numFmtId="167" fontId="79" fillId="18" borderId="0" xfId="2" applyNumberFormat="1" applyFont="1" applyFill="1" applyAlignment="1">
      <alignment horizontal="right" vertical="top"/>
    </xf>
    <xf numFmtId="167" fontId="78" fillId="18" borderId="1" xfId="2" applyNumberFormat="1" applyFont="1" applyFill="1" applyBorder="1" applyAlignment="1">
      <alignment horizontal="right" vertical="top"/>
    </xf>
    <xf numFmtId="167" fontId="78" fillId="18" borderId="0" xfId="2" applyNumberFormat="1" applyFont="1" applyFill="1" applyAlignment="1">
      <alignment horizontal="right" vertical="top"/>
    </xf>
    <xf numFmtId="167" fontId="80" fillId="18" borderId="0" xfId="2" applyNumberFormat="1" applyFont="1" applyFill="1" applyAlignment="1">
      <alignment horizontal="right" vertical="top"/>
    </xf>
    <xf numFmtId="167" fontId="79" fillId="18" borderId="8" xfId="2" applyNumberFormat="1" applyFont="1" applyFill="1" applyBorder="1" applyAlignment="1">
      <alignment horizontal="right" vertical="top"/>
    </xf>
    <xf numFmtId="167" fontId="79" fillId="18" borderId="9" xfId="2" applyNumberFormat="1" applyFont="1" applyFill="1" applyBorder="1" applyAlignment="1">
      <alignment horizontal="right" vertical="top"/>
    </xf>
    <xf numFmtId="169" fontId="31" fillId="0" borderId="2" xfId="0" applyNumberFormat="1" applyFont="1" applyBorder="1"/>
    <xf numFmtId="166" fontId="79" fillId="18" borderId="0" xfId="2" applyNumberFormat="1" applyFont="1" applyFill="1" applyAlignment="1"/>
    <xf numFmtId="1" fontId="79" fillId="18" borderId="0" xfId="2" applyNumberFormat="1" applyFont="1" applyFill="1" applyAlignment="1"/>
    <xf numFmtId="169" fontId="78" fillId="18" borderId="8" xfId="0" applyNumberFormat="1" applyFont="1" applyFill="1" applyBorder="1" applyAlignment="1">
      <alignment horizontal="left" vertical="top"/>
    </xf>
    <xf numFmtId="169" fontId="78" fillId="18" borderId="9" xfId="0" applyNumberFormat="1" applyFont="1" applyFill="1" applyBorder="1" applyAlignment="1">
      <alignment horizontal="left" vertical="top"/>
    </xf>
    <xf numFmtId="169" fontId="79" fillId="18" borderId="11" xfId="0" applyNumberFormat="1" applyFont="1" applyFill="1" applyBorder="1" applyAlignment="1">
      <alignment horizontal="left" vertical="top"/>
    </xf>
    <xf numFmtId="169" fontId="79" fillId="18" borderId="0" xfId="2" applyNumberFormat="1" applyFont="1" applyFill="1" applyAlignment="1">
      <alignment horizontal="left" vertical="top"/>
    </xf>
    <xf numFmtId="169" fontId="78" fillId="18" borderId="27" xfId="0" applyNumberFormat="1" applyFont="1" applyFill="1" applyBorder="1" applyAlignment="1">
      <alignment horizontal="left" vertical="top"/>
    </xf>
    <xf numFmtId="169" fontId="136" fillId="18" borderId="0" xfId="0" applyNumberFormat="1" applyFont="1" applyFill="1" applyAlignment="1">
      <alignment horizontal="left" vertical="top"/>
    </xf>
    <xf numFmtId="169" fontId="79" fillId="18" borderId="10" xfId="0" applyNumberFormat="1" applyFont="1" applyFill="1" applyBorder="1" applyAlignment="1">
      <alignment horizontal="left" vertical="top"/>
    </xf>
    <xf numFmtId="169" fontId="78" fillId="18" borderId="4" xfId="0" applyNumberFormat="1" applyFont="1" applyFill="1" applyBorder="1" applyAlignment="1">
      <alignment horizontal="left" vertical="top"/>
    </xf>
    <xf numFmtId="169" fontId="79" fillId="18" borderId="0" xfId="0" applyNumberFormat="1" applyFont="1" applyFill="1" applyAlignment="1">
      <alignment horizontal="left" vertical="top"/>
    </xf>
    <xf numFmtId="169" fontId="78" fillId="18" borderId="1" xfId="0" applyNumberFormat="1" applyFont="1" applyFill="1" applyBorder="1" applyAlignment="1">
      <alignment horizontal="left" vertical="top"/>
    </xf>
    <xf numFmtId="169" fontId="78" fillId="18" borderId="0" xfId="0" applyNumberFormat="1" applyFont="1" applyFill="1" applyAlignment="1">
      <alignment horizontal="left" vertical="top"/>
    </xf>
    <xf numFmtId="166" fontId="78" fillId="18" borderId="9" xfId="2" applyNumberFormat="1" applyFont="1" applyFill="1" applyBorder="1" applyAlignment="1">
      <alignment horizontal="left" vertical="top"/>
    </xf>
    <xf numFmtId="169" fontId="80" fillId="18" borderId="0" xfId="0" applyNumberFormat="1" applyFont="1" applyFill="1" applyAlignment="1">
      <alignment horizontal="left" vertical="top"/>
    </xf>
    <xf numFmtId="169" fontId="79" fillId="18" borderId="8" xfId="0" applyNumberFormat="1" applyFont="1" applyFill="1" applyBorder="1" applyAlignment="1">
      <alignment horizontal="left" vertical="top"/>
    </xf>
    <xf numFmtId="169" fontId="79" fillId="18" borderId="9" xfId="0" applyNumberFormat="1" applyFont="1" applyFill="1" applyBorder="1" applyAlignment="1">
      <alignment horizontal="left" vertical="top"/>
    </xf>
    <xf numFmtId="165" fontId="2" fillId="4" borderId="39" xfId="2" applyNumberFormat="1" applyFont="1" applyFill="1" applyBorder="1" applyAlignment="1">
      <alignment horizontal="right"/>
    </xf>
    <xf numFmtId="167" fontId="78" fillId="17" borderId="8" xfId="2" applyNumberFormat="1" applyFont="1" applyFill="1" applyBorder="1" applyAlignment="1">
      <alignment horizontal="right" vertical="top"/>
    </xf>
    <xf numFmtId="167" fontId="78" fillId="17" borderId="9" xfId="2" applyNumberFormat="1" applyFont="1" applyFill="1" applyBorder="1" applyAlignment="1">
      <alignment horizontal="right" vertical="top"/>
    </xf>
    <xf numFmtId="167" fontId="79" fillId="17" borderId="11" xfId="2" applyNumberFormat="1" applyFont="1" applyFill="1" applyBorder="1" applyAlignment="1">
      <alignment horizontal="right" vertical="top"/>
    </xf>
    <xf numFmtId="167" fontId="79" fillId="17" borderId="0" xfId="2" applyNumberFormat="1" applyFont="1" applyFill="1" applyAlignment="1">
      <alignment horizontal="right" vertical="top" wrapText="1"/>
    </xf>
    <xf numFmtId="167" fontId="78" fillId="17" borderId="27" xfId="2" applyNumberFormat="1" applyFont="1" applyFill="1" applyBorder="1" applyAlignment="1">
      <alignment horizontal="right" vertical="top"/>
    </xf>
    <xf numFmtId="167" fontId="135" fillId="17" borderId="0" xfId="2" applyNumberFormat="1" applyFont="1" applyFill="1" applyAlignment="1">
      <alignment horizontal="right" vertical="top"/>
    </xf>
    <xf numFmtId="167" fontId="79" fillId="17" borderId="10" xfId="2" applyNumberFormat="1" applyFont="1" applyFill="1" applyBorder="1" applyAlignment="1">
      <alignment horizontal="right" vertical="top"/>
    </xf>
    <xf numFmtId="167" fontId="78" fillId="17" borderId="4" xfId="2" applyNumberFormat="1" applyFont="1" applyFill="1" applyBorder="1" applyAlignment="1">
      <alignment horizontal="right" vertical="top"/>
    </xf>
    <xf numFmtId="167" fontId="79" fillId="17" borderId="0" xfId="2" applyNumberFormat="1" applyFont="1" applyFill="1" applyAlignment="1">
      <alignment horizontal="right" vertical="top"/>
    </xf>
    <xf numFmtId="167" fontId="78" fillId="17" borderId="1" xfId="2" applyNumberFormat="1" applyFont="1" applyFill="1" applyBorder="1" applyAlignment="1">
      <alignment horizontal="right" vertical="top"/>
    </xf>
    <xf numFmtId="167" fontId="79" fillId="17" borderId="8" xfId="2" applyNumberFormat="1" applyFont="1" applyFill="1" applyBorder="1" applyAlignment="1">
      <alignment horizontal="right" vertical="top"/>
    </xf>
    <xf numFmtId="167" fontId="79" fillId="17" borderId="9" xfId="2" applyNumberFormat="1" applyFont="1" applyFill="1" applyBorder="1" applyAlignment="1">
      <alignment horizontal="right" vertical="top"/>
    </xf>
    <xf numFmtId="167" fontId="80" fillId="17" borderId="0" xfId="2" applyNumberFormat="1" applyFont="1" applyFill="1" applyAlignment="1">
      <alignment horizontal="right" vertical="top"/>
    </xf>
    <xf numFmtId="167" fontId="78" fillId="17" borderId="0" xfId="2" applyNumberFormat="1" applyFont="1" applyFill="1" applyAlignment="1">
      <alignment horizontal="right" vertical="top"/>
    </xf>
    <xf numFmtId="4" fontId="2" fillId="0" borderId="0" xfId="0" applyNumberFormat="1" applyFont="1" applyAlignment="1">
      <alignment horizontal="left" vertical="top"/>
    </xf>
    <xf numFmtId="4" fontId="2" fillId="0" borderId="0" xfId="0" applyNumberFormat="1" applyFont="1" applyAlignment="1">
      <alignment vertical="top"/>
    </xf>
    <xf numFmtId="4" fontId="2" fillId="0" borderId="0" xfId="0" applyNumberFormat="1" applyFont="1" applyAlignment="1">
      <alignment horizontal="center" vertical="top" wrapText="1"/>
    </xf>
    <xf numFmtId="164" fontId="2" fillId="0" borderId="0" xfId="2" applyNumberFormat="1" applyFont="1" applyFill="1" applyAlignment="1">
      <alignment horizontal="right" vertical="top"/>
    </xf>
    <xf numFmtId="4" fontId="6" fillId="0" borderId="0" xfId="0" applyNumberFormat="1" applyFont="1" applyAlignment="1">
      <alignment vertical="top"/>
    </xf>
    <xf numFmtId="169" fontId="6" fillId="0" borderId="0" xfId="0" quotePrefix="1" applyNumberFormat="1" applyFont="1" applyAlignment="1">
      <alignment vertical="top"/>
    </xf>
    <xf numFmtId="164" fontId="2" fillId="0" borderId="9" xfId="2" applyNumberFormat="1" applyFont="1" applyFill="1" applyBorder="1" applyAlignment="1">
      <alignment horizontal="right" vertical="top"/>
    </xf>
    <xf numFmtId="4" fontId="2" fillId="0" borderId="36" xfId="0" applyNumberFormat="1" applyFont="1" applyBorder="1" applyAlignment="1">
      <alignment horizontal="left" vertical="top" wrapText="1"/>
    </xf>
    <xf numFmtId="164" fontId="2" fillId="0" borderId="36" xfId="2" applyNumberFormat="1" applyFont="1" applyFill="1" applyBorder="1" applyAlignment="1">
      <alignment horizontal="right" vertical="top"/>
    </xf>
    <xf numFmtId="164" fontId="2" fillId="4" borderId="36" xfId="2" applyNumberFormat="1" applyFont="1" applyFill="1" applyBorder="1" applyAlignment="1">
      <alignment horizontal="right" vertical="top"/>
    </xf>
    <xf numFmtId="164" fontId="2" fillId="0" borderId="36" xfId="2" applyNumberFormat="1" applyFont="1" applyBorder="1" applyAlignment="1">
      <alignment horizontal="right" vertical="top"/>
    </xf>
    <xf numFmtId="4" fontId="2" fillId="0" borderId="26" xfId="0" applyNumberFormat="1" applyFont="1" applyBorder="1" applyAlignment="1">
      <alignment horizontal="left" vertical="top" wrapText="1"/>
    </xf>
    <xf numFmtId="164" fontId="2" fillId="4" borderId="26" xfId="2" applyNumberFormat="1" applyFont="1" applyFill="1" applyBorder="1" applyAlignment="1">
      <alignment horizontal="right" vertical="top"/>
    </xf>
    <xf numFmtId="1" fontId="2" fillId="0" borderId="5" xfId="0" applyNumberFormat="1" applyFont="1" applyBorder="1" applyAlignment="1">
      <alignment horizontal="center" vertical="top"/>
    </xf>
    <xf numFmtId="4" fontId="11" fillId="0" borderId="8" xfId="0" applyNumberFormat="1" applyFont="1" applyBorder="1" applyAlignment="1">
      <alignment vertical="top"/>
    </xf>
    <xf numFmtId="4" fontId="1" fillId="0" borderId="8" xfId="0" applyNumberFormat="1" applyFont="1" applyBorder="1" applyAlignment="1">
      <alignment vertical="top"/>
    </xf>
    <xf numFmtId="166" fontId="27" fillId="18" borderId="0" xfId="2" applyNumberFormat="1" applyFont="1" applyFill="1" applyAlignment="1">
      <alignment horizontal="right"/>
    </xf>
    <xf numFmtId="172" fontId="137" fillId="6" borderId="0" xfId="2" applyNumberFormat="1" applyFont="1" applyFill="1" applyAlignment="1">
      <alignment horizontal="right" vertical="top"/>
    </xf>
    <xf numFmtId="169" fontId="137" fillId="6" borderId="0" xfId="0" applyNumberFormat="1" applyFont="1" applyFill="1" applyAlignment="1">
      <alignment horizontal="centerContinuous" vertical="top"/>
    </xf>
    <xf numFmtId="169" fontId="137" fillId="6" borderId="0" xfId="0" applyNumberFormat="1" applyFont="1" applyFill="1" applyAlignment="1">
      <alignment horizontal="left" vertical="top"/>
    </xf>
    <xf numFmtId="169" fontId="133" fillId="3" borderId="5" xfId="0" applyNumberFormat="1" applyFont="1" applyFill="1" applyBorder="1" applyAlignment="1">
      <alignment horizontal="center" vertical="top"/>
    </xf>
    <xf numFmtId="169" fontId="133" fillId="3" borderId="4" xfId="0" applyNumberFormat="1" applyFont="1" applyFill="1" applyBorder="1" applyAlignment="1">
      <alignment horizontal="center" vertical="top"/>
    </xf>
    <xf numFmtId="172" fontId="133" fillId="0" borderId="5" xfId="2" applyNumberFormat="1" applyFont="1" applyBorder="1" applyAlignment="1">
      <alignment horizontal="right" vertical="top"/>
    </xf>
    <xf numFmtId="172" fontId="133" fillId="4" borderId="5" xfId="2" applyNumberFormat="1" applyFont="1" applyFill="1" applyBorder="1" applyAlignment="1">
      <alignment horizontal="right" vertical="top"/>
    </xf>
    <xf numFmtId="169" fontId="133" fillId="3" borderId="5" xfId="0" applyNumberFormat="1" applyFont="1" applyFill="1" applyBorder="1" applyAlignment="1">
      <alignment vertical="top"/>
    </xf>
    <xf numFmtId="172" fontId="133" fillId="0" borderId="4" xfId="2" applyNumberFormat="1" applyFont="1" applyBorder="1" applyAlignment="1">
      <alignment horizontal="right" vertical="top"/>
    </xf>
    <xf numFmtId="172" fontId="133" fillId="4" borderId="4" xfId="2" applyNumberFormat="1" applyFont="1" applyFill="1" applyBorder="1" applyAlignment="1">
      <alignment horizontal="right" vertical="top"/>
    </xf>
    <xf numFmtId="169" fontId="133" fillId="3" borderId="4" xfId="0" applyNumberFormat="1" applyFont="1" applyFill="1" applyBorder="1" applyAlignment="1">
      <alignment vertical="top"/>
    </xf>
    <xf numFmtId="169" fontId="134" fillId="2" borderId="2" xfId="0" applyNumberFormat="1" applyFont="1" applyFill="1" applyBorder="1"/>
    <xf numFmtId="169" fontId="134" fillId="2" borderId="0" xfId="0" applyNumberFormat="1" applyFont="1" applyFill="1" applyAlignment="1">
      <alignment horizontal="right"/>
    </xf>
    <xf numFmtId="169" fontId="133" fillId="2" borderId="0" xfId="0" applyNumberFormat="1" applyFont="1" applyFill="1" applyAlignment="1">
      <alignment horizontal="center"/>
    </xf>
    <xf numFmtId="169" fontId="133" fillId="2" borderId="0" xfId="0" applyNumberFormat="1" applyFont="1" applyFill="1"/>
    <xf numFmtId="164" fontId="2" fillId="3" borderId="4" xfId="2" applyNumberFormat="1" applyFont="1" applyFill="1" applyBorder="1" applyAlignment="1">
      <alignment horizontal="right" vertical="top"/>
    </xf>
    <xf numFmtId="164" fontId="2" fillId="3" borderId="5" xfId="2" applyNumberFormat="1" applyFont="1" applyFill="1" applyBorder="1" applyAlignment="1">
      <alignment horizontal="right" vertical="top"/>
    </xf>
    <xf numFmtId="164" fontId="1" fillId="3" borderId="4" xfId="2" applyNumberFormat="1" applyFont="1" applyFill="1" applyBorder="1" applyAlignment="1">
      <alignment horizontal="right" vertical="top"/>
    </xf>
    <xf numFmtId="164" fontId="2" fillId="3" borderId="26" xfId="2" applyNumberFormat="1" applyFont="1" applyFill="1" applyBorder="1" applyAlignment="1">
      <alignment horizontal="right" vertical="top"/>
    </xf>
    <xf numFmtId="164" fontId="2" fillId="3" borderId="36" xfId="2" applyNumberFormat="1" applyFont="1" applyFill="1" applyBorder="1" applyAlignment="1">
      <alignment horizontal="right" vertical="top"/>
    </xf>
    <xf numFmtId="164" fontId="2" fillId="3" borderId="9" xfId="2" applyNumberFormat="1" applyFont="1" applyFill="1" applyBorder="1" applyAlignment="1">
      <alignment horizontal="right" vertical="top"/>
    </xf>
    <xf numFmtId="164" fontId="1" fillId="3" borderId="0" xfId="2" applyNumberFormat="1" applyFont="1" applyFill="1" applyAlignment="1">
      <alignment horizontal="right" vertical="top"/>
    </xf>
    <xf numFmtId="164" fontId="1" fillId="3" borderId="1" xfId="2" applyNumberFormat="1" applyFont="1" applyFill="1" applyBorder="1" applyAlignment="1">
      <alignment horizontal="right" vertical="top"/>
    </xf>
    <xf numFmtId="164" fontId="1" fillId="3" borderId="9" xfId="2" applyNumberFormat="1" applyFont="1" applyFill="1" applyBorder="1" applyAlignment="1">
      <alignment horizontal="right" vertical="top"/>
    </xf>
    <xf numFmtId="164" fontId="1" fillId="3" borderId="26" xfId="2" applyNumberFormat="1" applyFont="1" applyFill="1" applyBorder="1" applyAlignment="1">
      <alignment horizontal="right" vertical="top"/>
    </xf>
    <xf numFmtId="164" fontId="1" fillId="3" borderId="8" xfId="2" applyNumberFormat="1" applyFont="1" applyFill="1" applyBorder="1" applyAlignment="1">
      <alignment horizontal="right" vertical="top"/>
    </xf>
    <xf numFmtId="169" fontId="3" fillId="5" borderId="0" xfId="0" applyNumberFormat="1" applyFont="1" applyFill="1"/>
    <xf numFmtId="164" fontId="2" fillId="5" borderId="36" xfId="2" applyNumberFormat="1" applyFont="1" applyFill="1" applyBorder="1" applyAlignment="1">
      <alignment horizontal="right" vertical="top"/>
    </xf>
    <xf numFmtId="164" fontId="2" fillId="5" borderId="9" xfId="2" applyNumberFormat="1" applyFont="1" applyFill="1" applyBorder="1" applyAlignment="1">
      <alignment horizontal="right" vertical="top"/>
    </xf>
    <xf numFmtId="164" fontId="2" fillId="5" borderId="5" xfId="2" applyNumberFormat="1" applyFont="1" applyFill="1" applyBorder="1" applyAlignment="1">
      <alignment horizontal="right" vertical="top"/>
    </xf>
    <xf numFmtId="164" fontId="2" fillId="8" borderId="4" xfId="2" applyNumberFormat="1" applyFont="1" applyFill="1" applyBorder="1" applyAlignment="1">
      <alignment horizontal="right" vertical="top"/>
    </xf>
    <xf numFmtId="164" fontId="2" fillId="8" borderId="36" xfId="2" applyNumberFormat="1" applyFont="1" applyFill="1" applyBorder="1" applyAlignment="1">
      <alignment horizontal="right" vertical="top"/>
    </xf>
    <xf numFmtId="164" fontId="2" fillId="8" borderId="9" xfId="2" applyNumberFormat="1" applyFont="1" applyFill="1" applyBorder="1" applyAlignment="1">
      <alignment horizontal="right" vertical="top"/>
    </xf>
    <xf numFmtId="164" fontId="2" fillId="8" borderId="5" xfId="2" applyNumberFormat="1" applyFont="1" applyFill="1" applyBorder="1" applyAlignment="1">
      <alignment horizontal="right" vertical="top"/>
    </xf>
    <xf numFmtId="164" fontId="15" fillId="6" borderId="0" xfId="2" applyNumberFormat="1" applyFont="1" applyFill="1" applyAlignment="1">
      <alignment horizontal="centerContinuous" vertical="top"/>
    </xf>
    <xf numFmtId="165" fontId="134" fillId="0" borderId="0" xfId="0" applyNumberFormat="1" applyFont="1" applyAlignment="1">
      <alignment horizontal="left"/>
    </xf>
    <xf numFmtId="165" fontId="134" fillId="4" borderId="0" xfId="0" applyNumberFormat="1" applyFont="1" applyFill="1" applyAlignment="1">
      <alignment horizontal="right"/>
    </xf>
    <xf numFmtId="165" fontId="134" fillId="0" borderId="0" xfId="0" applyNumberFormat="1" applyFont="1" applyAlignment="1">
      <alignment horizontal="right"/>
    </xf>
    <xf numFmtId="165" fontId="2" fillId="0" borderId="2" xfId="0" applyNumberFormat="1" applyFont="1" applyBorder="1" applyAlignment="1">
      <alignment horizontal="left"/>
    </xf>
    <xf numFmtId="165" fontId="2" fillId="4" borderId="2" xfId="0" applyNumberFormat="1" applyFont="1" applyFill="1" applyBorder="1" applyAlignment="1">
      <alignment horizontal="right"/>
    </xf>
    <xf numFmtId="165" fontId="2" fillId="0" borderId="2" xfId="0" applyNumberFormat="1" applyFont="1" applyBorder="1" applyAlignment="1">
      <alignment horizontal="right"/>
    </xf>
    <xf numFmtId="169" fontId="133" fillId="0" borderId="0" xfId="0" applyNumberFormat="1" applyFont="1"/>
    <xf numFmtId="164" fontId="2" fillId="5" borderId="8" xfId="2" applyNumberFormat="1" applyFont="1" applyFill="1" applyBorder="1" applyAlignment="1">
      <alignment horizontal="right" vertical="top"/>
    </xf>
    <xf numFmtId="4" fontId="2" fillId="0" borderId="36" xfId="0" applyNumberFormat="1" applyFont="1" applyBorder="1" applyAlignment="1">
      <alignment horizontal="left" vertical="top"/>
    </xf>
    <xf numFmtId="4" fontId="2" fillId="0" borderId="9" xfId="0" applyNumberFormat="1" applyFont="1" applyBorder="1" applyAlignment="1">
      <alignment horizontal="left" vertical="top"/>
    </xf>
    <xf numFmtId="4" fontId="2" fillId="0" borderId="26" xfId="0" applyNumberFormat="1" applyFont="1" applyBorder="1" applyAlignment="1">
      <alignment horizontal="left" vertical="top"/>
    </xf>
    <xf numFmtId="4" fontId="15" fillId="6" borderId="0" xfId="2" applyNumberFormat="1" applyFont="1" applyFill="1" applyAlignment="1">
      <alignment horizontal="center" vertical="top"/>
    </xf>
    <xf numFmtId="169" fontId="2" fillId="0" borderId="22" xfId="0" applyNumberFormat="1" applyFont="1" applyBorder="1" applyAlignment="1">
      <alignment horizontal="center"/>
    </xf>
    <xf numFmtId="165" fontId="2" fillId="4" borderId="22" xfId="2" applyNumberFormat="1" applyFont="1" applyFill="1" applyBorder="1" applyAlignment="1">
      <alignment horizontal="right"/>
    </xf>
    <xf numFmtId="165" fontId="114" fillId="0" borderId="22" xfId="2" applyNumberFormat="1" applyFont="1" applyBorder="1" applyAlignment="1">
      <alignment horizontal="right"/>
    </xf>
    <xf numFmtId="169" fontId="133" fillId="0" borderId="4" xfId="0" applyNumberFormat="1" applyFont="1" applyBorder="1" applyAlignment="1">
      <alignment horizontal="center"/>
    </xf>
    <xf numFmtId="165" fontId="133" fillId="4" borderId="4" xfId="2" applyNumberFormat="1" applyFont="1" applyFill="1" applyBorder="1" applyAlignment="1">
      <alignment horizontal="right"/>
    </xf>
    <xf numFmtId="165" fontId="133" fillId="0" borderId="4" xfId="2" applyNumberFormat="1" applyFont="1" applyBorder="1" applyAlignment="1">
      <alignment horizontal="right"/>
    </xf>
    <xf numFmtId="169" fontId="1" fillId="0" borderId="22" xfId="0" applyNumberFormat="1" applyFont="1" applyBorder="1"/>
    <xf numFmtId="169" fontId="1" fillId="0" borderId="22" xfId="0" applyNumberFormat="1" applyFont="1" applyBorder="1" applyAlignment="1">
      <alignment horizontal="center"/>
    </xf>
    <xf numFmtId="165" fontId="1" fillId="4" borderId="22" xfId="2" applyNumberFormat="1" applyFont="1" applyFill="1" applyBorder="1" applyAlignment="1">
      <alignment horizontal="right"/>
    </xf>
    <xf numFmtId="165" fontId="1" fillId="0" borderId="22" xfId="2" applyNumberFormat="1" applyFont="1" applyBorder="1" applyAlignment="1">
      <alignment horizontal="right"/>
    </xf>
    <xf numFmtId="165" fontId="115" fillId="0" borderId="22" xfId="2" applyNumberFormat="1" applyFont="1" applyBorder="1" applyAlignment="1">
      <alignment horizontal="right"/>
    </xf>
    <xf numFmtId="169" fontId="2" fillId="0" borderId="0" xfId="0" applyNumberFormat="1" applyFont="1" applyAlignment="1">
      <alignment horizontal="left" indent="1"/>
    </xf>
    <xf numFmtId="165" fontId="2" fillId="0" borderId="0" xfId="2" applyNumberFormat="1" applyFont="1" applyBorder="1" applyAlignment="1">
      <alignment horizontal="right"/>
    </xf>
    <xf numFmtId="165" fontId="114" fillId="0" borderId="0" xfId="2" applyNumberFormat="1" applyFont="1" applyBorder="1" applyAlignment="1">
      <alignment horizontal="right"/>
    </xf>
    <xf numFmtId="165" fontId="1" fillId="0" borderId="4" xfId="2" applyNumberFormat="1" applyFont="1" applyBorder="1"/>
    <xf numFmtId="165" fontId="1" fillId="4" borderId="4" xfId="2" applyNumberFormat="1" applyFont="1" applyFill="1" applyBorder="1"/>
    <xf numFmtId="169" fontId="2" fillId="3" borderId="22" xfId="0" applyNumberFormat="1" applyFont="1" applyFill="1" applyBorder="1"/>
    <xf numFmtId="165" fontId="2" fillId="4" borderId="22" xfId="0" applyNumberFormat="1" applyFont="1" applyFill="1" applyBorder="1"/>
    <xf numFmtId="165" fontId="2" fillId="3" borderId="22" xfId="0" applyNumberFormat="1" applyFont="1" applyFill="1" applyBorder="1"/>
    <xf numFmtId="165" fontId="133" fillId="4" borderId="22" xfId="0" applyNumberFormat="1" applyFont="1" applyFill="1" applyBorder="1"/>
    <xf numFmtId="165" fontId="133" fillId="3" borderId="22" xfId="0" applyNumberFormat="1" applyFont="1" applyFill="1" applyBorder="1"/>
    <xf numFmtId="169" fontId="2" fillId="0" borderId="22" xfId="0" applyNumberFormat="1" applyFont="1" applyBorder="1"/>
    <xf numFmtId="165" fontId="2" fillId="4" borderId="22" xfId="2" applyNumberFormat="1" applyFont="1" applyFill="1" applyBorder="1"/>
    <xf numFmtId="165" fontId="2" fillId="3" borderId="22" xfId="2" applyNumberFormat="1" applyFont="1" applyFill="1" applyBorder="1"/>
    <xf numFmtId="165" fontId="2" fillId="22" borderId="0" xfId="2" applyNumberFormat="1" applyFont="1" applyFill="1" applyBorder="1" applyAlignment="1">
      <alignment horizontal="right"/>
    </xf>
    <xf numFmtId="165" fontId="1" fillId="22" borderId="0" xfId="2" applyNumberFormat="1" applyFont="1" applyFill="1" applyBorder="1" applyAlignment="1">
      <alignment horizontal="right"/>
    </xf>
    <xf numFmtId="165" fontId="1" fillId="0" borderId="0" xfId="2" applyNumberFormat="1" applyFont="1" applyBorder="1" applyAlignment="1">
      <alignment horizontal="right"/>
    </xf>
    <xf numFmtId="169" fontId="134" fillId="2" borderId="0" xfId="0" applyNumberFormat="1" applyFont="1" applyFill="1"/>
    <xf numFmtId="169" fontId="134" fillId="21" borderId="2" xfId="0" applyNumberFormat="1" applyFont="1" applyFill="1" applyBorder="1"/>
    <xf numFmtId="169" fontId="133" fillId="0" borderId="50" xfId="0" applyNumberFormat="1" applyFont="1" applyBorder="1"/>
    <xf numFmtId="169" fontId="133" fillId="0" borderId="51" xfId="0" applyNumberFormat="1" applyFont="1" applyBorder="1"/>
    <xf numFmtId="165" fontId="133" fillId="22" borderId="51" xfId="2" applyNumberFormat="1" applyFont="1" applyFill="1" applyBorder="1" applyAlignment="1">
      <alignment horizontal="right"/>
    </xf>
    <xf numFmtId="169" fontId="134" fillId="0" borderId="50" xfId="0" applyNumberFormat="1" applyFont="1" applyBorder="1"/>
    <xf numFmtId="169" fontId="134" fillId="21" borderId="0" xfId="0" applyNumberFormat="1" applyFont="1" applyFill="1"/>
    <xf numFmtId="169" fontId="51" fillId="15" borderId="0" xfId="0" applyNumberFormat="1" applyFont="1" applyFill="1"/>
    <xf numFmtId="169" fontId="51" fillId="15" borderId="0" xfId="0" applyNumberFormat="1" applyFont="1" applyFill="1" applyAlignment="1">
      <alignment horizontal="center"/>
    </xf>
    <xf numFmtId="4" fontId="2" fillId="0" borderId="22" xfId="0" applyNumberFormat="1" applyFont="1" applyBorder="1" applyAlignment="1">
      <alignment vertical="top"/>
    </xf>
    <xf numFmtId="164" fontId="2" fillId="4" borderId="22" xfId="2" applyNumberFormat="1" applyFont="1" applyFill="1" applyBorder="1" applyAlignment="1">
      <alignment horizontal="right" vertical="top"/>
    </xf>
    <xf numFmtId="164" fontId="2" fillId="3" borderId="22" xfId="2" applyNumberFormat="1" applyFont="1" applyFill="1" applyBorder="1" applyAlignment="1">
      <alignment horizontal="right" vertical="top"/>
    </xf>
    <xf numFmtId="164" fontId="2" fillId="4" borderId="0" xfId="2" applyNumberFormat="1" applyFont="1" applyFill="1" applyBorder="1" applyAlignment="1">
      <alignment horizontal="right" vertical="top"/>
    </xf>
    <xf numFmtId="164" fontId="2" fillId="3" borderId="0" xfId="2" applyNumberFormat="1" applyFont="1" applyFill="1" applyBorder="1" applyAlignment="1">
      <alignment horizontal="right" vertical="top"/>
    </xf>
    <xf numFmtId="4" fontId="2" fillId="0" borderId="37" xfId="0" applyNumberFormat="1" applyFont="1" applyBorder="1" applyAlignment="1">
      <alignment horizontal="left" vertical="top" wrapText="1"/>
    </xf>
    <xf numFmtId="164" fontId="2" fillId="4" borderId="37" xfId="2" applyNumberFormat="1" applyFont="1" applyFill="1" applyBorder="1" applyAlignment="1">
      <alignment horizontal="right" vertical="top"/>
    </xf>
    <xf numFmtId="164" fontId="2" fillId="3" borderId="37" xfId="2" applyNumberFormat="1" applyFont="1" applyFill="1" applyBorder="1" applyAlignment="1">
      <alignment horizontal="right" vertical="top"/>
    </xf>
    <xf numFmtId="164" fontId="1" fillId="4" borderId="0" xfId="2" applyNumberFormat="1" applyFont="1" applyFill="1" applyBorder="1" applyAlignment="1">
      <alignment horizontal="right" vertical="top"/>
    </xf>
    <xf numFmtId="164" fontId="1" fillId="3" borderId="0" xfId="2" applyNumberFormat="1" applyFont="1" applyFill="1" applyBorder="1" applyAlignment="1">
      <alignment horizontal="right" vertical="top"/>
    </xf>
    <xf numFmtId="4" fontId="1" fillId="0" borderId="37" xfId="0" applyNumberFormat="1" applyFont="1" applyBorder="1" applyAlignment="1">
      <alignment vertical="top"/>
    </xf>
    <xf numFmtId="164" fontId="1" fillId="4" borderId="37" xfId="2" applyNumberFormat="1" applyFont="1" applyFill="1" applyBorder="1" applyAlignment="1">
      <alignment horizontal="right" vertical="top"/>
    </xf>
    <xf numFmtId="164" fontId="1" fillId="3" borderId="37" xfId="2" applyNumberFormat="1" applyFont="1" applyFill="1" applyBorder="1" applyAlignment="1">
      <alignment horizontal="right" vertical="top"/>
    </xf>
    <xf numFmtId="164" fontId="1" fillId="4" borderId="11" xfId="2" applyNumberFormat="1" applyFont="1" applyFill="1" applyBorder="1" applyAlignment="1">
      <alignment horizontal="right" vertical="top"/>
    </xf>
    <xf numFmtId="164" fontId="1" fillId="3" borderId="11" xfId="2" applyNumberFormat="1" applyFont="1" applyFill="1" applyBorder="1" applyAlignment="1">
      <alignment horizontal="right" vertical="top"/>
    </xf>
    <xf numFmtId="4" fontId="1" fillId="0" borderId="37" xfId="0" applyNumberFormat="1" applyFont="1" applyBorder="1" applyAlignment="1">
      <alignment horizontal="left" vertical="top"/>
    </xf>
    <xf numFmtId="4" fontId="133" fillId="0" borderId="37" xfId="0" applyNumberFormat="1" applyFont="1" applyBorder="1" applyAlignment="1">
      <alignment horizontal="left" vertical="top" wrapText="1"/>
    </xf>
    <xf numFmtId="164" fontId="133" fillId="4" borderId="37" xfId="2" applyNumberFormat="1" applyFont="1" applyFill="1" applyBorder="1" applyAlignment="1">
      <alignment horizontal="right" vertical="top"/>
    </xf>
    <xf numFmtId="164" fontId="133" fillId="3" borderId="37" xfId="2" applyNumberFormat="1" applyFont="1" applyFill="1" applyBorder="1" applyAlignment="1">
      <alignment horizontal="right" vertical="top"/>
    </xf>
    <xf numFmtId="4" fontId="133" fillId="0" borderId="22" xfId="0" applyNumberFormat="1" applyFont="1" applyBorder="1" applyAlignment="1">
      <alignment vertical="top"/>
    </xf>
    <xf numFmtId="164" fontId="133" fillId="4" borderId="22" xfId="2" applyNumberFormat="1" applyFont="1" applyFill="1" applyBorder="1" applyAlignment="1">
      <alignment horizontal="right" vertical="top"/>
    </xf>
    <xf numFmtId="164" fontId="133" fillId="3" borderId="22" xfId="2" applyNumberFormat="1" applyFont="1" applyFill="1" applyBorder="1" applyAlignment="1">
      <alignment horizontal="right" vertical="top"/>
    </xf>
    <xf numFmtId="4" fontId="134" fillId="0" borderId="37" xfId="0" applyNumberFormat="1" applyFont="1" applyBorder="1" applyAlignment="1">
      <alignment vertical="top"/>
    </xf>
    <xf numFmtId="164" fontId="134" fillId="4" borderId="37" xfId="2" applyNumberFormat="1" applyFont="1" applyFill="1" applyBorder="1" applyAlignment="1">
      <alignment horizontal="right" vertical="top"/>
    </xf>
    <xf numFmtId="164" fontId="134" fillId="3" borderId="37" xfId="2" applyNumberFormat="1" applyFont="1" applyFill="1" applyBorder="1" applyAlignment="1">
      <alignment horizontal="right" vertical="top"/>
    </xf>
    <xf numFmtId="4" fontId="134" fillId="0" borderId="0" xfId="0" applyNumberFormat="1" applyFont="1" applyAlignment="1">
      <alignment vertical="top"/>
    </xf>
    <xf numFmtId="4" fontId="134" fillId="0" borderId="37" xfId="0" applyNumberFormat="1" applyFont="1" applyBorder="1" applyAlignment="1">
      <alignment horizontal="left" vertical="top"/>
    </xf>
    <xf numFmtId="167" fontId="59" fillId="14" borderId="0" xfId="2" applyNumberFormat="1" applyFont="1" applyFill="1" applyBorder="1" applyAlignment="1">
      <alignment horizontal="right"/>
    </xf>
    <xf numFmtId="168" fontId="51" fillId="8" borderId="0" xfId="1" applyNumberFormat="1" applyFont="1" applyFill="1" applyAlignment="1">
      <alignment horizontal="right"/>
    </xf>
    <xf numFmtId="168" fontId="53" fillId="8" borderId="7" xfId="1" applyNumberFormat="1" applyFont="1" applyFill="1" applyBorder="1" applyAlignment="1">
      <alignment horizontal="right"/>
    </xf>
    <xf numFmtId="166" fontId="51" fillId="0" borderId="0" xfId="2" applyNumberFormat="1" applyFont="1" applyBorder="1" applyAlignment="1">
      <alignment horizontal="right"/>
    </xf>
    <xf numFmtId="166" fontId="51" fillId="0" borderId="0" xfId="2" applyNumberFormat="1" applyFont="1" applyBorder="1"/>
    <xf numFmtId="166" fontId="51" fillId="3" borderId="0" xfId="2" applyNumberFormat="1" applyFont="1" applyFill="1" applyBorder="1"/>
    <xf numFmtId="167" fontId="51" fillId="0" borderId="0" xfId="2" applyNumberFormat="1" applyFont="1" applyBorder="1" applyAlignment="1">
      <alignment horizontal="right"/>
    </xf>
    <xf numFmtId="167" fontId="56" fillId="9" borderId="0" xfId="2" applyNumberFormat="1" applyFont="1" applyFill="1" applyBorder="1" applyAlignment="1">
      <alignment horizontal="left"/>
    </xf>
    <xf numFmtId="167" fontId="56" fillId="9" borderId="0" xfId="2" applyNumberFormat="1" applyFont="1" applyFill="1" applyBorder="1" applyAlignment="1">
      <alignment horizontal="right"/>
    </xf>
    <xf numFmtId="167" fontId="51" fillId="0" borderId="0" xfId="2" applyNumberFormat="1" applyFont="1" applyBorder="1"/>
    <xf numFmtId="169" fontId="1" fillId="2" borderId="0" xfId="0" applyNumberFormat="1" applyFont="1" applyFill="1" applyAlignment="1">
      <alignment wrapText="1"/>
    </xf>
    <xf numFmtId="166" fontId="56" fillId="9" borderId="0" xfId="2" applyNumberFormat="1" applyFont="1" applyFill="1" applyBorder="1" applyAlignment="1">
      <alignment horizontal="right"/>
    </xf>
    <xf numFmtId="166" fontId="56" fillId="9" borderId="0" xfId="2" applyNumberFormat="1" applyFont="1" applyFill="1" applyBorder="1" applyAlignment="1">
      <alignment horizontal="left" indent="1"/>
    </xf>
    <xf numFmtId="166" fontId="56" fillId="9" borderId="0" xfId="2" applyNumberFormat="1" applyFont="1" applyFill="1" applyBorder="1" applyAlignment="1">
      <alignment horizontal="center"/>
    </xf>
    <xf numFmtId="167" fontId="56" fillId="9" borderId="0" xfId="2" applyNumberFormat="1" applyFont="1" applyFill="1"/>
    <xf numFmtId="167" fontId="64" fillId="9" borderId="0" xfId="2" applyNumberFormat="1" applyFont="1" applyFill="1"/>
    <xf numFmtId="167" fontId="2" fillId="8" borderId="5" xfId="2" applyNumberFormat="1" applyFont="1" applyFill="1" applyBorder="1" applyAlignment="1">
      <alignment horizontal="right"/>
    </xf>
    <xf numFmtId="167" fontId="2" fillId="8" borderId="39" xfId="2" applyNumberFormat="1" applyFont="1" applyFill="1" applyBorder="1" applyAlignment="1">
      <alignment horizontal="right"/>
    </xf>
    <xf numFmtId="167" fontId="2" fillId="8" borderId="38" xfId="2" applyNumberFormat="1" applyFont="1" applyFill="1" applyBorder="1" applyAlignment="1">
      <alignment horizontal="right"/>
    </xf>
    <xf numFmtId="167" fontId="1" fillId="8" borderId="1" xfId="2" applyNumberFormat="1" applyFont="1" applyFill="1" applyBorder="1" applyAlignment="1">
      <alignment horizontal="right"/>
    </xf>
    <xf numFmtId="167" fontId="6" fillId="8" borderId="4" xfId="2" applyNumberFormat="1" applyFont="1" applyFill="1" applyBorder="1" applyAlignment="1">
      <alignment horizontal="right"/>
    </xf>
    <xf numFmtId="167" fontId="6" fillId="8" borderId="1" xfId="2" applyNumberFormat="1" applyFont="1" applyFill="1" applyBorder="1" applyAlignment="1">
      <alignment horizontal="right"/>
    </xf>
    <xf numFmtId="167" fontId="1" fillId="8" borderId="4" xfId="2" applyNumberFormat="1" applyFont="1" applyFill="1" applyBorder="1" applyAlignment="1">
      <alignment horizontal="right"/>
    </xf>
    <xf numFmtId="169" fontId="26" fillId="11" borderId="5" xfId="2" applyNumberFormat="1" applyFont="1" applyFill="1" applyBorder="1" applyAlignment="1">
      <alignment horizontal="left"/>
    </xf>
    <xf numFmtId="169" fontId="25" fillId="11" borderId="4" xfId="2" applyNumberFormat="1" applyFont="1" applyFill="1" applyBorder="1" applyAlignment="1">
      <alignment horizontal="left"/>
    </xf>
    <xf numFmtId="169" fontId="25" fillId="11" borderId="5" xfId="2" applyNumberFormat="1" applyFont="1" applyFill="1" applyBorder="1" applyAlignment="1">
      <alignment horizontal="left"/>
    </xf>
    <xf numFmtId="169" fontId="33" fillId="11" borderId="5" xfId="2" applyNumberFormat="1" applyFont="1" applyFill="1" applyBorder="1" applyAlignment="1">
      <alignment horizontal="left"/>
    </xf>
    <xf numFmtId="169" fontId="25" fillId="11" borderId="1" xfId="0" applyNumberFormat="1" applyFont="1" applyFill="1" applyBorder="1" applyAlignment="1">
      <alignment horizontal="left"/>
    </xf>
    <xf numFmtId="169" fontId="26" fillId="11" borderId="1" xfId="0" applyNumberFormat="1" applyFont="1" applyFill="1" applyBorder="1" applyAlignment="1">
      <alignment horizontal="left"/>
    </xf>
    <xf numFmtId="169" fontId="33" fillId="11" borderId="1" xfId="0" applyNumberFormat="1" applyFont="1" applyFill="1" applyBorder="1" applyAlignment="1">
      <alignment horizontal="left"/>
    </xf>
    <xf numFmtId="169" fontId="56" fillId="9" borderId="0" xfId="2" applyNumberFormat="1" applyFont="1" applyFill="1" applyAlignment="1">
      <alignment horizontal="left"/>
    </xf>
    <xf numFmtId="167" fontId="82" fillId="8" borderId="0" xfId="2" applyNumberFormat="1" applyFont="1" applyFill="1" applyAlignment="1">
      <alignment horizontal="left"/>
    </xf>
    <xf numFmtId="166" fontId="82" fillId="8" borderId="0" xfId="2" applyNumberFormat="1" applyFont="1" applyFill="1" applyAlignment="1">
      <alignment horizontal="left"/>
    </xf>
    <xf numFmtId="169" fontId="58" fillId="11" borderId="2" xfId="0" applyNumberFormat="1" applyFont="1" applyFill="1" applyBorder="1" applyAlignment="1">
      <alignment horizontal="left"/>
    </xf>
    <xf numFmtId="169" fontId="58" fillId="11" borderId="2" xfId="0" applyNumberFormat="1" applyFont="1" applyFill="1" applyBorder="1" applyAlignment="1">
      <alignment horizontal="right"/>
    </xf>
    <xf numFmtId="166" fontId="58" fillId="11" borderId="2" xfId="2" applyNumberFormat="1" applyFont="1" applyFill="1" applyBorder="1" applyAlignment="1">
      <alignment horizontal="right"/>
    </xf>
    <xf numFmtId="169" fontId="139" fillId="0" borderId="0" xfId="0" applyNumberFormat="1" applyFont="1"/>
    <xf numFmtId="169" fontId="54" fillId="0" borderId="0" xfId="0" applyNumberFormat="1" applyFont="1" applyAlignment="1">
      <alignment horizontal="right"/>
    </xf>
    <xf numFmtId="169" fontId="139" fillId="0" borderId="0" xfId="0" applyNumberFormat="1" applyFont="1" applyAlignment="1">
      <alignment horizontal="right"/>
    </xf>
    <xf numFmtId="1" fontId="139" fillId="0" borderId="0" xfId="0" applyNumberFormat="1" applyFont="1" applyAlignment="1">
      <alignment horizontal="right"/>
    </xf>
    <xf numFmtId="167" fontId="54" fillId="0" borderId="0" xfId="2" applyNumberFormat="1" applyFont="1" applyFill="1"/>
    <xf numFmtId="169" fontId="54" fillId="0" borderId="2" xfId="0" applyNumberFormat="1" applyFont="1" applyBorder="1"/>
    <xf numFmtId="167" fontId="54" fillId="0" borderId="2" xfId="2" applyNumberFormat="1" applyFont="1" applyFill="1" applyBorder="1"/>
    <xf numFmtId="167" fontId="139" fillId="0" borderId="0" xfId="2" applyNumberFormat="1" applyFont="1" applyFill="1"/>
    <xf numFmtId="169" fontId="54" fillId="0" borderId="0" xfId="1" applyNumberFormat="1" applyFont="1" applyFill="1"/>
    <xf numFmtId="43" fontId="54" fillId="0" borderId="0" xfId="2" applyFont="1" applyFill="1"/>
    <xf numFmtId="169" fontId="139" fillId="0" borderId="49" xfId="2" applyNumberFormat="1" applyFont="1" applyFill="1" applyBorder="1"/>
    <xf numFmtId="167" fontId="139" fillId="0" borderId="49" xfId="2" applyNumberFormat="1" applyFont="1" applyFill="1" applyBorder="1" applyAlignment="1">
      <alignment horizontal="right"/>
    </xf>
    <xf numFmtId="169" fontId="54" fillId="0" borderId="0" xfId="0" applyNumberFormat="1" applyFont="1" applyAlignment="1">
      <alignment horizontal="left"/>
    </xf>
    <xf numFmtId="167" fontId="54" fillId="0" borderId="0" xfId="2" applyNumberFormat="1" applyFont="1" applyFill="1" applyAlignment="1">
      <alignment horizontal="right"/>
    </xf>
    <xf numFmtId="169" fontId="54" fillId="0" borderId="2" xfId="0" applyNumberFormat="1" applyFont="1" applyBorder="1" applyAlignment="1">
      <alignment horizontal="left"/>
    </xf>
    <xf numFmtId="167" fontId="54" fillId="0" borderId="2" xfId="2" applyNumberFormat="1" applyFont="1" applyFill="1" applyBorder="1" applyAlignment="1">
      <alignment horizontal="right"/>
    </xf>
    <xf numFmtId="167" fontId="54" fillId="0" borderId="0" xfId="2" applyNumberFormat="1" applyFont="1" applyFill="1" applyBorder="1" applyAlignment="1">
      <alignment horizontal="right"/>
    </xf>
    <xf numFmtId="169" fontId="139" fillId="0" borderId="0" xfId="0" applyNumberFormat="1" applyFont="1" applyAlignment="1">
      <alignment horizontal="left"/>
    </xf>
    <xf numFmtId="169" fontId="140" fillId="0" borderId="0" xfId="0" applyNumberFormat="1" applyFont="1"/>
    <xf numFmtId="4" fontId="2" fillId="0" borderId="22" xfId="0" applyNumberFormat="1" applyFont="1" applyBorder="1" applyAlignment="1">
      <alignment horizontal="center" vertical="top"/>
    </xf>
    <xf numFmtId="4" fontId="1" fillId="0" borderId="37" xfId="0" applyNumberFormat="1" applyFont="1" applyBorder="1" applyAlignment="1">
      <alignment horizontal="center" vertical="top"/>
    </xf>
    <xf numFmtId="164" fontId="1" fillId="0" borderId="37" xfId="2" applyNumberFormat="1" applyFont="1" applyBorder="1" applyAlignment="1">
      <alignment horizontal="right" vertical="top"/>
    </xf>
    <xf numFmtId="4" fontId="1" fillId="0" borderId="37" xfId="0" applyNumberFormat="1" applyFont="1" applyBorder="1" applyAlignment="1">
      <alignment horizontal="center" vertical="top" wrapText="1"/>
    </xf>
    <xf numFmtId="164" fontId="2" fillId="0" borderId="37" xfId="2" applyNumberFormat="1" applyFont="1" applyFill="1" applyBorder="1" applyAlignment="1">
      <alignment horizontal="right" vertical="top"/>
    </xf>
    <xf numFmtId="164" fontId="2" fillId="0" borderId="37" xfId="2" applyNumberFormat="1" applyFont="1" applyBorder="1" applyAlignment="1">
      <alignment horizontal="right" vertical="top"/>
    </xf>
    <xf numFmtId="169" fontId="2" fillId="3" borderId="22" xfId="0" applyNumberFormat="1" applyFont="1" applyFill="1" applyBorder="1" applyAlignment="1">
      <alignment horizontal="left"/>
    </xf>
    <xf numFmtId="166" fontId="33" fillId="3" borderId="22" xfId="2" applyNumberFormat="1" applyFont="1" applyFill="1" applyBorder="1" applyAlignment="1">
      <alignment horizontal="center"/>
    </xf>
    <xf numFmtId="167" fontId="2" fillId="4" borderId="22" xfId="2" applyNumberFormat="1" applyFont="1" applyFill="1" applyBorder="1" applyAlignment="1">
      <alignment horizontal="right"/>
    </xf>
    <xf numFmtId="167" fontId="2" fillId="3" borderId="22" xfId="2" applyNumberFormat="1" applyFont="1" applyFill="1" applyBorder="1" applyAlignment="1">
      <alignment horizontal="right"/>
    </xf>
    <xf numFmtId="169" fontId="1" fillId="3" borderId="22" xfId="0" applyNumberFormat="1" applyFont="1" applyFill="1" applyBorder="1" applyAlignment="1">
      <alignment horizontal="left"/>
    </xf>
    <xf numFmtId="166" fontId="26" fillId="3" borderId="22" xfId="2" applyNumberFormat="1" applyFont="1" applyFill="1" applyBorder="1" applyAlignment="1">
      <alignment horizontal="center"/>
    </xf>
    <xf numFmtId="167" fontId="1" fillId="4" borderId="22" xfId="2" applyNumberFormat="1" applyFont="1" applyFill="1" applyBorder="1" applyAlignment="1">
      <alignment horizontal="right"/>
    </xf>
    <xf numFmtId="167" fontId="1" fillId="3" borderId="22" xfId="2" applyNumberFormat="1" applyFont="1" applyFill="1" applyBorder="1" applyAlignment="1">
      <alignment horizontal="right"/>
    </xf>
    <xf numFmtId="169" fontId="6" fillId="0" borderId="22" xfId="0" applyNumberFormat="1" applyFont="1" applyBorder="1" applyAlignment="1">
      <alignment horizontal="left"/>
    </xf>
    <xf numFmtId="166" fontId="25" fillId="3" borderId="22" xfId="2" applyNumberFormat="1" applyFont="1" applyFill="1" applyBorder="1" applyAlignment="1">
      <alignment horizontal="center"/>
    </xf>
    <xf numFmtId="167" fontId="6" fillId="4" borderId="22" xfId="2" applyNumberFormat="1" applyFont="1" applyFill="1" applyBorder="1" applyAlignment="1">
      <alignment horizontal="right"/>
    </xf>
    <xf numFmtId="167" fontId="6" fillId="3" borderId="22" xfId="2" applyNumberFormat="1" applyFont="1" applyFill="1" applyBorder="1" applyAlignment="1">
      <alignment horizontal="right"/>
    </xf>
    <xf numFmtId="169" fontId="2" fillId="0" borderId="22" xfId="0" applyNumberFormat="1" applyFont="1" applyBorder="1" applyAlignment="1">
      <alignment horizontal="left"/>
    </xf>
    <xf numFmtId="169" fontId="1" fillId="0" borderId="22" xfId="0" applyNumberFormat="1" applyFont="1" applyBorder="1" applyAlignment="1">
      <alignment horizontal="left"/>
    </xf>
    <xf numFmtId="169" fontId="69" fillId="16" borderId="0" xfId="0" applyNumberFormat="1" applyFont="1" applyFill="1"/>
    <xf numFmtId="169" fontId="138" fillId="16" borderId="0" xfId="0" applyNumberFormat="1" applyFont="1" applyFill="1"/>
    <xf numFmtId="167" fontId="141" fillId="9" borderId="0" xfId="2" applyNumberFormat="1" applyFont="1" applyFill="1" applyAlignment="1">
      <alignment horizontal="right"/>
    </xf>
    <xf numFmtId="169" fontId="101" fillId="16" borderId="0" xfId="0" applyNumberFormat="1" applyFont="1" applyFill="1"/>
    <xf numFmtId="9" fontId="51" fillId="0" borderId="0" xfId="1" applyFont="1"/>
    <xf numFmtId="9" fontId="142" fillId="0" borderId="0" xfId="1" applyFont="1"/>
    <xf numFmtId="164" fontId="2" fillId="0" borderId="22" xfId="2" applyNumberFormat="1" applyFont="1" applyBorder="1" applyAlignment="1">
      <alignment horizontal="right" vertical="top"/>
    </xf>
    <xf numFmtId="4" fontId="2" fillId="0" borderId="8" xfId="0" applyNumberFormat="1" applyFont="1" applyBorder="1" applyAlignment="1">
      <alignment horizontal="left" vertical="top" wrapText="1"/>
    </xf>
    <xf numFmtId="164" fontId="2" fillId="0" borderId="8" xfId="2" applyNumberFormat="1" applyFont="1" applyFill="1" applyBorder="1" applyAlignment="1">
      <alignment horizontal="right" vertical="top"/>
    </xf>
    <xf numFmtId="4" fontId="2" fillId="0" borderId="0" xfId="0" applyNumberFormat="1" applyFont="1" applyAlignment="1">
      <alignment horizontal="left" vertical="top" wrapText="1"/>
    </xf>
    <xf numFmtId="164" fontId="2" fillId="0" borderId="0" xfId="2" applyNumberFormat="1" applyFont="1" applyFill="1" applyBorder="1" applyAlignment="1">
      <alignment horizontal="right" vertical="top"/>
    </xf>
    <xf numFmtId="164" fontId="2" fillId="0" borderId="0" xfId="2" applyNumberFormat="1" applyFont="1" applyBorder="1" applyAlignment="1">
      <alignment horizontal="right" vertical="top"/>
    </xf>
    <xf numFmtId="0" fontId="143" fillId="0" borderId="49" xfId="0" applyFont="1" applyBorder="1"/>
    <xf numFmtId="0" fontId="97" fillId="0" borderId="49" xfId="0" applyFont="1" applyBorder="1"/>
    <xf numFmtId="0" fontId="0" fillId="0" borderId="2" xfId="0" applyBorder="1"/>
    <xf numFmtId="0" fontId="0" fillId="0" borderId="0" xfId="0" quotePrefix="1"/>
    <xf numFmtId="0" fontId="16" fillId="0" borderId="0" xfId="0" quotePrefix="1" applyFont="1"/>
    <xf numFmtId="169" fontId="1" fillId="3" borderId="4" xfId="2" applyNumberFormat="1" applyFont="1" applyFill="1" applyBorder="1" applyAlignment="1">
      <alignment horizontal="left"/>
    </xf>
    <xf numFmtId="169" fontId="2" fillId="3" borderId="0" xfId="2" applyNumberFormat="1" applyFont="1" applyFill="1" applyBorder="1" applyAlignment="1">
      <alignment horizontal="left"/>
    </xf>
    <xf numFmtId="166" fontId="2" fillId="3" borderId="0" xfId="2" applyNumberFormat="1" applyFont="1" applyFill="1" applyBorder="1" applyAlignment="1">
      <alignment horizontal="left"/>
    </xf>
    <xf numFmtId="167" fontId="2" fillId="4" borderId="0" xfId="2" applyNumberFormat="1" applyFont="1" applyFill="1" applyBorder="1" applyAlignment="1">
      <alignment horizontal="right"/>
    </xf>
    <xf numFmtId="167" fontId="26" fillId="3" borderId="0" xfId="2" applyNumberFormat="1" applyFont="1" applyFill="1" applyBorder="1" applyAlignment="1">
      <alignment horizontal="center"/>
    </xf>
    <xf numFmtId="0" fontId="107" fillId="10" borderId="0" xfId="0" applyFont="1" applyFill="1" applyAlignment="1">
      <alignment horizontal="right"/>
    </xf>
    <xf numFmtId="167" fontId="107" fillId="10" borderId="0" xfId="2" quotePrefix="1" applyNumberFormat="1" applyFont="1" applyFill="1" applyAlignment="1">
      <alignment horizontal="right"/>
    </xf>
    <xf numFmtId="167" fontId="0" fillId="0" borderId="0" xfId="2" applyNumberFormat="1" applyFont="1" applyAlignment="1">
      <alignment horizontal="right"/>
    </xf>
    <xf numFmtId="169" fontId="1" fillId="3" borderId="0" xfId="2" applyNumberFormat="1" applyFont="1" applyFill="1" applyBorder="1" applyAlignment="1">
      <alignment horizontal="left"/>
    </xf>
    <xf numFmtId="169" fontId="133" fillId="3" borderId="22" xfId="0" applyNumberFormat="1" applyFont="1" applyFill="1" applyBorder="1" applyAlignment="1">
      <alignment vertical="top"/>
    </xf>
    <xf numFmtId="169" fontId="133" fillId="3" borderId="22" xfId="0" applyNumberFormat="1" applyFont="1" applyFill="1" applyBorder="1" applyAlignment="1">
      <alignment horizontal="center" vertical="top"/>
    </xf>
    <xf numFmtId="172" fontId="133" fillId="4" borderId="22" xfId="2" applyNumberFormat="1" applyFont="1" applyFill="1" applyBorder="1" applyAlignment="1">
      <alignment horizontal="right" vertical="top"/>
    </xf>
    <xf numFmtId="172" fontId="133" fillId="0" borderId="22" xfId="2" applyNumberFormat="1" applyFont="1" applyBorder="1" applyAlignment="1">
      <alignment horizontal="right" vertical="top"/>
    </xf>
    <xf numFmtId="167" fontId="1" fillId="2" borderId="2" xfId="2" applyNumberFormat="1" applyFont="1" applyFill="1" applyBorder="1" applyAlignment="1">
      <alignment horizontal="right"/>
    </xf>
    <xf numFmtId="1" fontId="0" fillId="0" borderId="0" xfId="0" applyNumberFormat="1" applyAlignment="1">
      <alignment horizontal="right"/>
    </xf>
    <xf numFmtId="1" fontId="0" fillId="0" borderId="0" xfId="2" applyNumberFormat="1" applyFont="1" applyAlignment="1">
      <alignment horizontal="right"/>
    </xf>
    <xf numFmtId="1" fontId="0" fillId="0" borderId="2" xfId="0" applyNumberFormat="1" applyBorder="1" applyAlignment="1">
      <alignment horizontal="right"/>
    </xf>
    <xf numFmtId="1" fontId="0" fillId="8" borderId="2" xfId="2" applyNumberFormat="1" applyFont="1" applyFill="1" applyBorder="1" applyAlignment="1">
      <alignment horizontal="right"/>
    </xf>
    <xf numFmtId="1" fontId="97" fillId="0" borderId="0" xfId="0" applyNumberFormat="1" applyFont="1" applyAlignment="1">
      <alignment horizontal="right"/>
    </xf>
    <xf numFmtId="1" fontId="97" fillId="0" borderId="0" xfId="2" applyNumberFormat="1" applyFont="1" applyAlignment="1">
      <alignment horizontal="right"/>
    </xf>
    <xf numFmtId="1" fontId="0" fillId="0" borderId="2" xfId="2" applyNumberFormat="1" applyFont="1" applyBorder="1" applyAlignment="1">
      <alignment horizontal="right"/>
    </xf>
    <xf numFmtId="1" fontId="97" fillId="8" borderId="0" xfId="2" applyNumberFormat="1" applyFont="1" applyFill="1" applyAlignment="1">
      <alignment horizontal="right"/>
    </xf>
    <xf numFmtId="1" fontId="97" fillId="0" borderId="49" xfId="2" applyNumberFormat="1" applyFont="1" applyBorder="1" applyAlignment="1">
      <alignment horizontal="right"/>
    </xf>
    <xf numFmtId="1" fontId="97" fillId="8" borderId="49" xfId="2" applyNumberFormat="1" applyFont="1" applyFill="1" applyBorder="1" applyAlignment="1">
      <alignment horizontal="right"/>
    </xf>
    <xf numFmtId="4" fontId="6" fillId="0" borderId="36" xfId="0" applyNumberFormat="1" applyFont="1" applyBorder="1" applyAlignment="1">
      <alignment horizontal="left" vertical="top" wrapText="1"/>
    </xf>
    <xf numFmtId="164" fontId="6" fillId="4" borderId="36" xfId="2" applyNumberFormat="1" applyFont="1" applyFill="1" applyBorder="1" applyAlignment="1">
      <alignment horizontal="right" vertical="top"/>
    </xf>
    <xf numFmtId="164" fontId="6" fillId="3" borderId="36" xfId="2" applyNumberFormat="1" applyFont="1" applyFill="1" applyBorder="1" applyAlignment="1">
      <alignment horizontal="right" vertical="top"/>
    </xf>
    <xf numFmtId="4" fontId="6" fillId="0" borderId="9" xfId="0" applyNumberFormat="1" applyFont="1" applyBorder="1" applyAlignment="1">
      <alignment horizontal="left" vertical="top" wrapText="1"/>
    </xf>
    <xf numFmtId="164" fontId="6" fillId="4" borderId="9" xfId="2" applyNumberFormat="1" applyFont="1" applyFill="1" applyBorder="1" applyAlignment="1">
      <alignment horizontal="right" vertical="top"/>
    </xf>
    <xf numFmtId="164" fontId="6" fillId="3" borderId="9" xfId="2" applyNumberFormat="1" applyFont="1" applyFill="1" applyBorder="1" applyAlignment="1">
      <alignment horizontal="right" vertical="top"/>
    </xf>
    <xf numFmtId="4" fontId="6" fillId="0" borderId="11" xfId="0" applyNumberFormat="1" applyFont="1" applyBorder="1" applyAlignment="1">
      <alignment horizontal="left" vertical="top" wrapText="1"/>
    </xf>
    <xf numFmtId="164" fontId="6" fillId="4" borderId="11" xfId="2" applyNumberFormat="1" applyFont="1" applyFill="1" applyBorder="1" applyAlignment="1">
      <alignment horizontal="right" vertical="top"/>
    </xf>
    <xf numFmtId="164" fontId="6" fillId="3" borderId="11" xfId="2" applyNumberFormat="1" applyFont="1" applyFill="1" applyBorder="1" applyAlignment="1">
      <alignment horizontal="right" vertical="top"/>
    </xf>
    <xf numFmtId="165" fontId="2" fillId="3" borderId="4" xfId="2" applyNumberFormat="1" applyFont="1" applyFill="1" applyBorder="1" applyAlignment="1">
      <alignment horizontal="right"/>
    </xf>
    <xf numFmtId="165" fontId="2" fillId="3" borderId="5" xfId="2" applyNumberFormat="1" applyFont="1" applyFill="1" applyBorder="1" applyAlignment="1">
      <alignment horizontal="right"/>
    </xf>
    <xf numFmtId="165" fontId="2" fillId="3" borderId="39" xfId="2" applyNumberFormat="1" applyFont="1" applyFill="1" applyBorder="1" applyAlignment="1">
      <alignment horizontal="right"/>
    </xf>
    <xf numFmtId="165" fontId="2" fillId="3" borderId="22" xfId="2" applyNumberFormat="1" applyFont="1" applyFill="1" applyBorder="1" applyAlignment="1">
      <alignment horizontal="right"/>
    </xf>
    <xf numFmtId="165" fontId="2" fillId="3" borderId="0" xfId="2" applyNumberFormat="1" applyFont="1" applyFill="1" applyBorder="1" applyAlignment="1">
      <alignment horizontal="right"/>
    </xf>
    <xf numFmtId="165" fontId="1" fillId="3" borderId="22" xfId="2" applyNumberFormat="1" applyFont="1" applyFill="1" applyBorder="1" applyAlignment="1">
      <alignment horizontal="right"/>
    </xf>
    <xf numFmtId="165" fontId="6" fillId="3" borderId="4" xfId="2" applyNumberFormat="1" applyFont="1" applyFill="1" applyBorder="1" applyAlignment="1">
      <alignment horizontal="right"/>
    </xf>
    <xf numFmtId="165" fontId="6" fillId="3" borderId="22" xfId="2" applyNumberFormat="1" applyFont="1" applyFill="1" applyBorder="1" applyAlignment="1">
      <alignment horizontal="right"/>
    </xf>
    <xf numFmtId="165" fontId="1" fillId="3" borderId="4" xfId="2" applyNumberFormat="1" applyFont="1" applyFill="1" applyBorder="1" applyAlignment="1">
      <alignment horizontal="right"/>
    </xf>
    <xf numFmtId="169" fontId="26" fillId="2" borderId="0" xfId="0" applyNumberFormat="1" applyFont="1" applyFill="1" applyAlignment="1">
      <alignment horizontal="right"/>
    </xf>
    <xf numFmtId="169" fontId="144" fillId="0" borderId="0" xfId="0" applyNumberFormat="1" applyFont="1" applyAlignment="1">
      <alignment horizontal="right"/>
    </xf>
    <xf numFmtId="1" fontId="26" fillId="2" borderId="2" xfId="0" applyNumberFormat="1" applyFont="1" applyFill="1" applyBorder="1" applyAlignment="1">
      <alignment horizontal="right"/>
    </xf>
    <xf numFmtId="165" fontId="25" fillId="0" borderId="4" xfId="2" applyNumberFormat="1" applyFont="1" applyBorder="1" applyAlignment="1">
      <alignment horizontal="left"/>
    </xf>
    <xf numFmtId="165" fontId="25" fillId="0" borderId="4" xfId="2" applyNumberFormat="1" applyFont="1" applyBorder="1" applyAlignment="1">
      <alignment horizontal="center"/>
    </xf>
    <xf numFmtId="165" fontId="25" fillId="4" borderId="4" xfId="2" applyNumberFormat="1" applyFont="1" applyFill="1" applyBorder="1" applyAlignment="1">
      <alignment horizontal="right"/>
    </xf>
    <xf numFmtId="169" fontId="26" fillId="2" borderId="2" xfId="0" applyNumberFormat="1" applyFont="1" applyFill="1" applyBorder="1" applyAlignment="1">
      <alignment horizontal="right"/>
    </xf>
    <xf numFmtId="169" fontId="2" fillId="15" borderId="0" xfId="0" applyNumberFormat="1" applyFont="1" applyFill="1"/>
    <xf numFmtId="169" fontId="2" fillId="15" borderId="0" xfId="0" applyNumberFormat="1" applyFont="1" applyFill="1" applyAlignment="1">
      <alignment horizontal="right"/>
    </xf>
    <xf numFmtId="169" fontId="4" fillId="15" borderId="0" xfId="0" applyNumberFormat="1" applyFont="1" applyFill="1" applyAlignment="1">
      <alignment horizontal="left"/>
    </xf>
    <xf numFmtId="169" fontId="4" fillId="15" borderId="0" xfId="0" applyNumberFormat="1" applyFont="1" applyFill="1"/>
    <xf numFmtId="169" fontId="2" fillId="15" borderId="0" xfId="0" applyNumberFormat="1" applyFont="1" applyFill="1" applyAlignment="1">
      <alignment horizontal="center"/>
    </xf>
    <xf numFmtId="166" fontId="56" fillId="9" borderId="0" xfId="2" applyNumberFormat="1" applyFont="1" applyFill="1" applyAlignment="1">
      <alignment horizontal="left"/>
    </xf>
    <xf numFmtId="165" fontId="1" fillId="4" borderId="0" xfId="2" applyNumberFormat="1" applyFont="1" applyFill="1" applyBorder="1" applyAlignment="1">
      <alignment horizontal="right"/>
    </xf>
    <xf numFmtId="165" fontId="2" fillId="0" borderId="22" xfId="2" applyNumberFormat="1" applyFont="1" applyBorder="1" applyAlignment="1">
      <alignment horizontal="center"/>
    </xf>
    <xf numFmtId="43" fontId="78" fillId="9" borderId="0" xfId="2" applyFont="1" applyFill="1"/>
    <xf numFmtId="43" fontId="145" fillId="9" borderId="0" xfId="2" applyFont="1" applyFill="1"/>
    <xf numFmtId="165" fontId="114" fillId="0" borderId="0" xfId="0" applyNumberFormat="1" applyFont="1" applyAlignment="1">
      <alignment horizontal="right"/>
    </xf>
    <xf numFmtId="166" fontId="141" fillId="9" borderId="0" xfId="2" applyNumberFormat="1" applyFont="1" applyFill="1" applyAlignment="1">
      <alignment horizontal="left"/>
    </xf>
    <xf numFmtId="166" fontId="141" fillId="9" borderId="0" xfId="2" applyNumberFormat="1" applyFont="1" applyFill="1" applyAlignment="1">
      <alignment horizontal="right"/>
    </xf>
    <xf numFmtId="165" fontId="2" fillId="20" borderId="0" xfId="2" applyNumberFormat="1" applyFont="1" applyFill="1" applyBorder="1" applyAlignment="1">
      <alignment horizontal="right"/>
    </xf>
    <xf numFmtId="1" fontId="2" fillId="0" borderId="4" xfId="0" applyNumberFormat="1" applyFont="1" applyBorder="1" applyAlignment="1">
      <alignment horizontal="right"/>
    </xf>
    <xf numFmtId="167" fontId="1" fillId="0" borderId="4" xfId="2" applyNumberFormat="1" applyFont="1" applyBorder="1" applyAlignment="1">
      <alignment horizontal="right"/>
    </xf>
    <xf numFmtId="169" fontId="78" fillId="9" borderId="0" xfId="0" applyNumberFormat="1" applyFont="1" applyFill="1"/>
    <xf numFmtId="166" fontId="78" fillId="9" borderId="0" xfId="2" applyNumberFormat="1" applyFont="1" applyFill="1"/>
    <xf numFmtId="169" fontId="26" fillId="2" borderId="0" xfId="0" applyNumberFormat="1" applyFont="1" applyFill="1"/>
    <xf numFmtId="169" fontId="26" fillId="2" borderId="2" xfId="0" applyNumberFormat="1" applyFont="1" applyFill="1" applyBorder="1"/>
    <xf numFmtId="165" fontId="25" fillId="8" borderId="4" xfId="2" applyNumberFormat="1" applyFont="1" applyFill="1" applyBorder="1"/>
    <xf numFmtId="169" fontId="0" fillId="15" borderId="0" xfId="0" applyNumberFormat="1" applyFill="1"/>
    <xf numFmtId="166" fontId="146" fillId="9" borderId="0" xfId="2" applyNumberFormat="1" applyFont="1" applyFill="1"/>
    <xf numFmtId="169" fontId="69" fillId="16" borderId="0" xfId="0" quotePrefix="1" applyNumberFormat="1" applyFont="1" applyFill="1"/>
    <xf numFmtId="167" fontId="2" fillId="4" borderId="0" xfId="2" applyNumberFormat="1" applyFont="1" applyFill="1" applyAlignment="1">
      <alignment horizontal="right"/>
    </xf>
    <xf numFmtId="167" fontId="6" fillId="4" borderId="5" xfId="2" applyNumberFormat="1" applyFont="1" applyFill="1" applyBorder="1" applyAlignment="1">
      <alignment horizontal="right"/>
    </xf>
    <xf numFmtId="167" fontId="6" fillId="3" borderId="5" xfId="2" applyNumberFormat="1" applyFont="1" applyFill="1" applyBorder="1" applyAlignment="1">
      <alignment horizontal="right"/>
    </xf>
    <xf numFmtId="169" fontId="32" fillId="11" borderId="0" xfId="0" quotePrefix="1" applyNumberFormat="1" applyFont="1" applyFill="1"/>
    <xf numFmtId="164" fontId="2" fillId="0" borderId="11" xfId="2" applyNumberFormat="1" applyFont="1" applyFill="1" applyBorder="1" applyAlignment="1">
      <alignment horizontal="right" vertical="top"/>
    </xf>
    <xf numFmtId="164" fontId="2" fillId="4" borderId="11" xfId="2" applyNumberFormat="1" applyFont="1" applyFill="1" applyBorder="1" applyAlignment="1">
      <alignment horizontal="right" vertical="top"/>
    </xf>
    <xf numFmtId="164" fontId="2" fillId="0" borderId="11" xfId="2" applyNumberFormat="1" applyFont="1" applyBorder="1" applyAlignment="1">
      <alignment horizontal="right" vertical="top"/>
    </xf>
    <xf numFmtId="4" fontId="2" fillId="3" borderId="0" xfId="0" applyNumberFormat="1" applyFont="1" applyFill="1" applyAlignment="1">
      <alignment horizontal="center" vertical="top"/>
    </xf>
    <xf numFmtId="4" fontId="11" fillId="0" borderId="0" xfId="0" applyNumberFormat="1" applyFont="1" applyAlignment="1">
      <alignment vertical="top"/>
    </xf>
    <xf numFmtId="4" fontId="133" fillId="0" borderId="11" xfId="0" applyNumberFormat="1" applyFont="1" applyBorder="1" applyAlignment="1">
      <alignment horizontal="left" vertical="top" wrapText="1"/>
    </xf>
    <xf numFmtId="164" fontId="133" fillId="0" borderId="11" xfId="2" applyNumberFormat="1" applyFont="1" applyBorder="1" applyAlignment="1">
      <alignment horizontal="right" vertical="top"/>
    </xf>
    <xf numFmtId="164" fontId="133" fillId="4" borderId="11" xfId="2" applyNumberFormat="1" applyFont="1" applyFill="1" applyBorder="1" applyAlignment="1">
      <alignment horizontal="right" vertical="top"/>
    </xf>
    <xf numFmtId="4" fontId="133" fillId="0" borderId="0" xfId="0" applyNumberFormat="1" applyFont="1" applyAlignment="1">
      <alignment vertical="top"/>
    </xf>
    <xf numFmtId="4" fontId="133" fillId="3" borderId="0" xfId="0" applyNumberFormat="1" applyFont="1" applyFill="1" applyAlignment="1">
      <alignment horizontal="center" vertical="top"/>
    </xf>
    <xf numFmtId="164" fontId="133" fillId="4" borderId="0" xfId="2" applyNumberFormat="1" applyFont="1" applyFill="1" applyAlignment="1">
      <alignment horizontal="right" vertical="top"/>
    </xf>
    <xf numFmtId="164" fontId="133" fillId="3" borderId="0" xfId="2" applyNumberFormat="1" applyFont="1" applyFill="1" applyAlignment="1">
      <alignment horizontal="right" vertical="top"/>
    </xf>
    <xf numFmtId="4" fontId="147" fillId="0" borderId="0" xfId="0" applyNumberFormat="1" applyFont="1" applyAlignment="1">
      <alignment vertical="top"/>
    </xf>
    <xf numFmtId="4" fontId="133" fillId="0" borderId="0" xfId="0" applyNumberFormat="1" applyFont="1" applyAlignment="1">
      <alignment horizontal="center" vertical="top" wrapText="1"/>
    </xf>
    <xf numFmtId="164" fontId="133" fillId="0" borderId="0" xfId="2" applyNumberFormat="1" applyFont="1" applyAlignment="1">
      <alignment horizontal="right" vertical="top"/>
    </xf>
    <xf numFmtId="4" fontId="133" fillId="0" borderId="9" xfId="0" applyNumberFormat="1" applyFont="1" applyBorder="1" applyAlignment="1">
      <alignment horizontal="left" vertical="top" wrapText="1"/>
    </xf>
    <xf numFmtId="4" fontId="1" fillId="0" borderId="0" xfId="0" applyNumberFormat="1" applyFont="1" applyAlignment="1">
      <alignment horizontal="center" vertical="top" wrapText="1"/>
    </xf>
    <xf numFmtId="164" fontId="1" fillId="0" borderId="0" xfId="2" applyNumberFormat="1" applyFont="1" applyBorder="1" applyAlignment="1">
      <alignment horizontal="right" vertical="top"/>
    </xf>
    <xf numFmtId="4" fontId="134" fillId="0" borderId="0" xfId="0" applyNumberFormat="1" applyFont="1" applyAlignment="1">
      <alignment horizontal="center" vertical="top"/>
    </xf>
    <xf numFmtId="164" fontId="134" fillId="4" borderId="0" xfId="2" applyNumberFormat="1" applyFont="1" applyFill="1" applyAlignment="1">
      <alignment horizontal="right" vertical="top"/>
    </xf>
    <xf numFmtId="164" fontId="134" fillId="0" borderId="0" xfId="2" applyNumberFormat="1" applyFont="1" applyAlignment="1">
      <alignment horizontal="right" vertical="top"/>
    </xf>
    <xf numFmtId="1" fontId="2" fillId="0" borderId="22" xfId="0" applyNumberFormat="1" applyFont="1" applyBorder="1" applyAlignment="1">
      <alignment horizontal="right" vertical="top"/>
    </xf>
    <xf numFmtId="169" fontId="134" fillId="2" borderId="2" xfId="0" applyNumberFormat="1" applyFont="1" applyFill="1" applyBorder="1" applyAlignment="1">
      <alignment horizontal="right"/>
    </xf>
    <xf numFmtId="4" fontId="1" fillId="0" borderId="11" xfId="0" applyNumberFormat="1" applyFont="1" applyBorder="1" applyAlignment="1">
      <alignment horizontal="left" vertical="top" wrapText="1"/>
    </xf>
    <xf numFmtId="4" fontId="133" fillId="0" borderId="8" xfId="0" applyNumberFormat="1" applyFont="1" applyBorder="1" applyAlignment="1">
      <alignment horizontal="left" vertical="top" wrapText="1"/>
    </xf>
    <xf numFmtId="164" fontId="133" fillId="0" borderId="8" xfId="2" applyNumberFormat="1" applyFont="1" applyBorder="1" applyAlignment="1">
      <alignment horizontal="right" vertical="top"/>
    </xf>
    <xf numFmtId="164" fontId="133" fillId="4" borderId="8" xfId="2" applyNumberFormat="1" applyFont="1" applyFill="1" applyBorder="1" applyAlignment="1">
      <alignment horizontal="right" vertical="top"/>
    </xf>
    <xf numFmtId="169" fontId="148" fillId="7" borderId="15" xfId="0" applyNumberFormat="1" applyFont="1" applyFill="1" applyBorder="1" applyAlignment="1">
      <alignment vertical="center"/>
    </xf>
    <xf numFmtId="169" fontId="2" fillId="0" borderId="0" xfId="0" applyNumberFormat="1" applyFont="1" applyAlignment="1">
      <alignment horizontal="right" vertical="center"/>
    </xf>
    <xf numFmtId="169" fontId="2" fillId="0" borderId="7" xfId="0" applyNumberFormat="1" applyFont="1" applyBorder="1" applyAlignment="1">
      <alignment horizontal="right" vertical="center"/>
    </xf>
    <xf numFmtId="169" fontId="148" fillId="7" borderId="2" xfId="0" applyNumberFormat="1" applyFont="1" applyFill="1" applyBorder="1" applyAlignment="1">
      <alignment vertical="center"/>
    </xf>
    <xf numFmtId="168" fontId="25" fillId="0" borderId="4" xfId="0" applyNumberFormat="1" applyFont="1" applyBorder="1" applyAlignment="1">
      <alignment horizontal="right" vertical="center"/>
    </xf>
    <xf numFmtId="169" fontId="2" fillId="3" borderId="0" xfId="0" applyNumberFormat="1" applyFont="1" applyFill="1" applyAlignment="1">
      <alignment horizontal="left" vertical="center"/>
    </xf>
    <xf numFmtId="167" fontId="25" fillId="0" borderId="46" xfId="2" applyNumberFormat="1" applyFont="1" applyFill="1" applyBorder="1" applyAlignment="1">
      <alignment horizontal="right" vertical="center"/>
    </xf>
    <xf numFmtId="167" fontId="25" fillId="0" borderId="4" xfId="2" applyNumberFormat="1" applyFont="1" applyFill="1" applyBorder="1" applyAlignment="1">
      <alignment horizontal="right" vertical="center"/>
    </xf>
    <xf numFmtId="168" fontId="25" fillId="0" borderId="4" xfId="1" applyNumberFormat="1" applyFont="1" applyFill="1" applyBorder="1" applyAlignment="1">
      <alignment horizontal="right" vertical="center"/>
    </xf>
    <xf numFmtId="169" fontId="25" fillId="0" borderId="4" xfId="0" applyNumberFormat="1" applyFont="1" applyBorder="1" applyAlignment="1">
      <alignment horizontal="right" vertical="center"/>
    </xf>
    <xf numFmtId="167" fontId="119" fillId="0" borderId="0" xfId="2" applyNumberFormat="1" applyFont="1" applyFill="1" applyBorder="1" applyAlignment="1">
      <alignment horizontal="right"/>
    </xf>
    <xf numFmtId="43" fontId="2" fillId="0" borderId="4" xfId="2" applyFont="1" applyFill="1" applyBorder="1" applyAlignment="1">
      <alignment horizontal="right" vertical="center"/>
    </xf>
    <xf numFmtId="43" fontId="2" fillId="0" borderId="2" xfId="2" applyFont="1" applyFill="1" applyBorder="1" applyAlignment="1">
      <alignment horizontal="right" vertical="center"/>
    </xf>
    <xf numFmtId="168" fontId="2" fillId="0" borderId="4" xfId="0" applyNumberFormat="1" applyFont="1" applyBorder="1" applyAlignment="1">
      <alignment horizontal="right" vertical="center"/>
    </xf>
    <xf numFmtId="169" fontId="21" fillId="0" borderId="0" xfId="0" applyNumberFormat="1" applyFont="1" applyAlignment="1">
      <alignment horizontal="left" vertical="center"/>
    </xf>
    <xf numFmtId="169" fontId="128" fillId="0" borderId="0" xfId="0" applyNumberFormat="1" applyFont="1"/>
    <xf numFmtId="168" fontId="128" fillId="0" borderId="0" xfId="1" applyNumberFormat="1" applyFont="1" applyFill="1" applyBorder="1"/>
    <xf numFmtId="169" fontId="129" fillId="0" borderId="0" xfId="0" applyNumberFormat="1" applyFont="1"/>
    <xf numFmtId="169" fontId="110" fillId="0" borderId="0" xfId="0" applyNumberFormat="1" applyFont="1" applyAlignment="1">
      <alignment vertical="center"/>
    </xf>
    <xf numFmtId="169" fontId="21" fillId="0" borderId="0" xfId="0" applyNumberFormat="1" applyFont="1" applyAlignment="1">
      <alignment vertical="center"/>
    </xf>
    <xf numFmtId="169" fontId="149" fillId="0" borderId="0" xfId="0" applyNumberFormat="1" applyFont="1"/>
    <xf numFmtId="169" fontId="150" fillId="0" borderId="0" xfId="0" applyNumberFormat="1" applyFont="1"/>
    <xf numFmtId="169" fontId="128" fillId="0" borderId="0" xfId="0" applyNumberFormat="1" applyFont="1" applyAlignment="1">
      <alignment horizontal="right"/>
    </xf>
    <xf numFmtId="169" fontId="149" fillId="0" borderId="0" xfId="0" quotePrefix="1" applyNumberFormat="1" applyFont="1"/>
    <xf numFmtId="169" fontId="151" fillId="0" borderId="0" xfId="0" applyNumberFormat="1" applyFont="1"/>
    <xf numFmtId="169" fontId="151" fillId="0" borderId="0" xfId="0" quotePrefix="1" applyNumberFormat="1" applyFont="1"/>
    <xf numFmtId="169" fontId="128" fillId="0" borderId="0" xfId="0" quotePrefix="1" applyNumberFormat="1" applyFont="1"/>
    <xf numFmtId="166" fontId="151" fillId="0" borderId="0" xfId="2" applyNumberFormat="1" applyFont="1" applyFill="1" applyBorder="1"/>
    <xf numFmtId="166" fontId="128" fillId="0" borderId="0" xfId="2" applyNumberFormat="1" applyFont="1" applyFill="1" applyBorder="1"/>
    <xf numFmtId="169" fontId="148" fillId="7" borderId="13" xfId="0" applyNumberFormat="1" applyFont="1" applyFill="1" applyBorder="1" applyAlignment="1">
      <alignment vertical="center"/>
    </xf>
    <xf numFmtId="169" fontId="148" fillId="7" borderId="7" xfId="0" applyNumberFormat="1" applyFont="1" applyFill="1" applyBorder="1" applyAlignment="1">
      <alignment horizontal="right" vertical="center"/>
    </xf>
    <xf numFmtId="169" fontId="148" fillId="7" borderId="14" xfId="0" applyNumberFormat="1" applyFont="1" applyFill="1" applyBorder="1" applyAlignment="1">
      <alignment horizontal="right" vertical="center"/>
    </xf>
    <xf numFmtId="165" fontId="2" fillId="0" borderId="42" xfId="2" applyNumberFormat="1" applyFont="1" applyBorder="1" applyAlignment="1">
      <alignment horizontal="right" vertical="center"/>
    </xf>
    <xf numFmtId="168" fontId="2" fillId="0" borderId="42" xfId="1" applyNumberFormat="1" applyFont="1" applyFill="1" applyBorder="1" applyAlignment="1">
      <alignment horizontal="right" vertical="center"/>
    </xf>
    <xf numFmtId="169" fontId="2" fillId="0" borderId="42" xfId="0" applyNumberFormat="1" applyFont="1" applyBorder="1" applyAlignment="1">
      <alignment horizontal="right" vertical="center"/>
    </xf>
    <xf numFmtId="168" fontId="2" fillId="0" borderId="42" xfId="1" applyNumberFormat="1" applyFont="1" applyBorder="1" applyAlignment="1">
      <alignment horizontal="right" vertical="center"/>
    </xf>
    <xf numFmtId="165" fontId="2" fillId="0" borderId="21" xfId="2" applyNumberFormat="1" applyFont="1" applyBorder="1" applyAlignment="1">
      <alignment horizontal="right" vertical="center"/>
    </xf>
    <xf numFmtId="169" fontId="2" fillId="3" borderId="0" xfId="0" applyNumberFormat="1" applyFont="1" applyFill="1" applyAlignment="1">
      <alignment horizontal="right"/>
    </xf>
    <xf numFmtId="169" fontId="63" fillId="0" borderId="0" xfId="0" applyNumberFormat="1" applyFont="1" applyAlignment="1">
      <alignment horizontal="right"/>
    </xf>
    <xf numFmtId="1" fontId="148" fillId="7" borderId="2" xfId="0" applyNumberFormat="1" applyFont="1" applyFill="1" applyBorder="1" applyAlignment="1">
      <alignment horizontal="right" vertical="center"/>
    </xf>
    <xf numFmtId="1" fontId="148" fillId="7" borderId="16" xfId="0" applyNumberFormat="1" applyFont="1" applyFill="1" applyBorder="1" applyAlignment="1">
      <alignment horizontal="right" vertical="center"/>
    </xf>
    <xf numFmtId="169" fontId="148" fillId="7" borderId="7" xfId="0" applyNumberFormat="1" applyFont="1" applyFill="1" applyBorder="1" applyAlignment="1">
      <alignment vertical="center"/>
    </xf>
    <xf numFmtId="167" fontId="25" fillId="11" borderId="2" xfId="2" applyNumberFormat="1" applyFont="1" applyFill="1" applyBorder="1" applyAlignment="1">
      <alignment horizontal="right" vertical="center"/>
    </xf>
    <xf numFmtId="1" fontId="2" fillId="0" borderId="0" xfId="0" applyNumberFormat="1" applyFont="1" applyAlignment="1">
      <alignment horizontal="right"/>
    </xf>
    <xf numFmtId="175" fontId="25" fillId="11" borderId="2" xfId="2" applyNumberFormat="1" applyFont="1" applyFill="1" applyBorder="1" applyAlignment="1">
      <alignment horizontal="right" vertical="center"/>
    </xf>
    <xf numFmtId="169" fontId="2" fillId="3" borderId="7" xfId="0" applyNumberFormat="1" applyFont="1" applyFill="1" applyBorder="1" applyAlignment="1">
      <alignment horizontal="left" vertical="center"/>
    </xf>
    <xf numFmtId="167" fontId="3" fillId="0" borderId="29" xfId="2" applyNumberFormat="1" applyFont="1" applyFill="1" applyBorder="1" applyAlignment="1">
      <alignment horizontal="center" vertical="center"/>
    </xf>
    <xf numFmtId="167" fontId="3" fillId="0" borderId="29" xfId="2" applyNumberFormat="1" applyFont="1" applyFill="1" applyBorder="1" applyAlignment="1">
      <alignment horizontal="right" vertical="center"/>
    </xf>
    <xf numFmtId="167" fontId="3" fillId="0" borderId="18" xfId="2" applyNumberFormat="1" applyFont="1" applyFill="1" applyBorder="1" applyAlignment="1">
      <alignment horizontal="right" vertical="center"/>
    </xf>
    <xf numFmtId="166" fontId="3" fillId="0" borderId="0" xfId="2" applyNumberFormat="1" applyFont="1"/>
    <xf numFmtId="169" fontId="133" fillId="0" borderId="8" xfId="0" applyNumberFormat="1" applyFont="1" applyBorder="1" applyAlignment="1">
      <alignment horizontal="right"/>
    </xf>
    <xf numFmtId="167" fontId="133" fillId="0" borderId="9" xfId="2" applyNumberFormat="1" applyFont="1" applyBorder="1"/>
    <xf numFmtId="167" fontId="133" fillId="0" borderId="9" xfId="2" applyNumberFormat="1" applyFont="1" applyBorder="1" applyAlignment="1">
      <alignment horizontal="right"/>
    </xf>
    <xf numFmtId="167" fontId="152" fillId="0" borderId="9" xfId="2" applyNumberFormat="1" applyFont="1" applyBorder="1"/>
    <xf numFmtId="167" fontId="133" fillId="0" borderId="8" xfId="2" applyNumberFormat="1" applyFont="1" applyBorder="1"/>
    <xf numFmtId="169" fontId="133" fillId="0" borderId="9" xfId="0" applyNumberFormat="1" applyFont="1" applyBorder="1" applyAlignment="1">
      <alignment horizontal="right"/>
    </xf>
    <xf numFmtId="167" fontId="133" fillId="0" borderId="4" xfId="2" applyNumberFormat="1" applyFont="1" applyBorder="1"/>
    <xf numFmtId="174" fontId="32" fillId="7" borderId="12" xfId="0" applyNumberFormat="1" applyFont="1" applyFill="1" applyBorder="1" applyAlignment="1">
      <alignment horizontal="centerContinuous" vertical="center"/>
    </xf>
    <xf numFmtId="168" fontId="24" fillId="0" borderId="0" xfId="1" applyNumberFormat="1" applyFont="1" applyAlignment="1">
      <alignment horizontal="right" vertical="top"/>
    </xf>
    <xf numFmtId="168" fontId="153" fillId="0" borderId="0" xfId="1" applyNumberFormat="1" applyFont="1" applyAlignment="1">
      <alignment horizontal="right" vertical="top"/>
    </xf>
    <xf numFmtId="168" fontId="6" fillId="0" borderId="0" xfId="1" applyNumberFormat="1" applyFont="1"/>
    <xf numFmtId="169" fontId="6" fillId="0" borderId="2" xfId="0" applyNumberFormat="1" applyFont="1" applyBorder="1"/>
    <xf numFmtId="168" fontId="6" fillId="0" borderId="2" xfId="1" applyNumberFormat="1" applyFont="1" applyBorder="1"/>
    <xf numFmtId="168" fontId="20" fillId="0" borderId="0" xfId="1" applyNumberFormat="1" applyFont="1"/>
    <xf numFmtId="165" fontId="1" fillId="20" borderId="0" xfId="2" applyNumberFormat="1" applyFont="1" applyFill="1" applyBorder="1" applyAlignment="1">
      <alignment horizontal="right"/>
    </xf>
    <xf numFmtId="171" fontId="1" fillId="20" borderId="0" xfId="0" applyNumberFormat="1" applyFont="1" applyFill="1" applyAlignment="1">
      <alignment horizontal="right"/>
    </xf>
    <xf numFmtId="171" fontId="1" fillId="0" borderId="0" xfId="0" applyNumberFormat="1" applyFont="1" applyAlignment="1">
      <alignment horizontal="right"/>
    </xf>
    <xf numFmtId="169" fontId="2" fillId="20" borderId="0" xfId="0" applyNumberFormat="1" applyFont="1" applyFill="1" applyAlignment="1">
      <alignment horizontal="right"/>
    </xf>
    <xf numFmtId="4" fontId="133" fillId="0" borderId="8" xfId="0" applyNumberFormat="1" applyFont="1" applyBorder="1" applyAlignment="1">
      <alignment vertical="top"/>
    </xf>
    <xf numFmtId="164" fontId="133" fillId="3" borderId="8" xfId="2" applyNumberFormat="1" applyFont="1" applyFill="1" applyBorder="1" applyAlignment="1">
      <alignment horizontal="right" vertical="top"/>
    </xf>
    <xf numFmtId="165" fontId="2" fillId="4" borderId="0" xfId="2" applyNumberFormat="1" applyFont="1" applyFill="1" applyBorder="1"/>
    <xf numFmtId="165" fontId="2" fillId="3" borderId="0" xfId="2" applyNumberFormat="1" applyFont="1" applyFill="1" applyBorder="1"/>
    <xf numFmtId="168" fontId="153" fillId="6" borderId="0" xfId="1" applyNumberFormat="1" applyFont="1" applyFill="1" applyAlignment="1">
      <alignment horizontal="right" vertical="top"/>
    </xf>
    <xf numFmtId="168" fontId="24" fillId="6" borderId="0" xfId="1" applyNumberFormat="1" applyFont="1" applyFill="1" applyAlignment="1">
      <alignment horizontal="right" vertical="top"/>
    </xf>
    <xf numFmtId="168" fontId="24" fillId="5" borderId="0" xfId="1" applyNumberFormat="1" applyFont="1" applyFill="1" applyAlignment="1">
      <alignment horizontal="right" vertical="top"/>
    </xf>
    <xf numFmtId="167" fontId="38" fillId="24" borderId="0" xfId="2" applyNumberFormat="1" applyFont="1" applyFill="1" applyBorder="1"/>
    <xf numFmtId="167" fontId="39" fillId="24" borderId="0" xfId="2" applyNumberFormat="1" applyFont="1" applyFill="1" applyBorder="1"/>
    <xf numFmtId="167" fontId="133" fillId="20" borderId="4" xfId="2" applyNumberFormat="1" applyFont="1" applyFill="1" applyBorder="1" applyAlignment="1">
      <alignment horizontal="right" vertical="center"/>
    </xf>
    <xf numFmtId="167" fontId="133" fillId="0" borderId="42" xfId="2" applyNumberFormat="1" applyFont="1" applyBorder="1" applyAlignment="1">
      <alignment horizontal="right" vertical="center"/>
    </xf>
    <xf numFmtId="167" fontId="133" fillId="0" borderId="4" xfId="2" applyNumberFormat="1" applyFont="1" applyBorder="1" applyAlignment="1">
      <alignment horizontal="right" vertical="center"/>
    </xf>
    <xf numFmtId="168" fontId="133" fillId="20" borderId="4" xfId="1" applyNumberFormat="1" applyFont="1" applyFill="1" applyBorder="1" applyAlignment="1">
      <alignment horizontal="right" vertical="center"/>
    </xf>
    <xf numFmtId="165" fontId="133" fillId="20" borderId="4" xfId="2" applyNumberFormat="1" applyFont="1" applyFill="1" applyBorder="1" applyAlignment="1">
      <alignment horizontal="right" vertical="center"/>
    </xf>
    <xf numFmtId="165" fontId="133" fillId="0" borderId="4" xfId="2" applyNumberFormat="1" applyFont="1" applyBorder="1" applyAlignment="1">
      <alignment horizontal="right" vertical="center"/>
    </xf>
    <xf numFmtId="168" fontId="133" fillId="0" borderId="4" xfId="1" applyNumberFormat="1" applyFont="1" applyBorder="1" applyAlignment="1">
      <alignment horizontal="right" vertical="center"/>
    </xf>
    <xf numFmtId="168" fontId="133" fillId="0" borderId="42" xfId="1" applyNumberFormat="1" applyFont="1" applyBorder="1" applyAlignment="1">
      <alignment horizontal="right" vertical="center"/>
    </xf>
    <xf numFmtId="165" fontId="133" fillId="0" borderId="42" xfId="2" applyNumberFormat="1" applyFont="1" applyBorder="1" applyAlignment="1">
      <alignment horizontal="right" vertical="center"/>
    </xf>
    <xf numFmtId="0" fontId="69" fillId="0" borderId="0" xfId="0" applyFont="1"/>
    <xf numFmtId="0" fontId="156" fillId="0" borderId="0" xfId="0" applyFont="1"/>
    <xf numFmtId="3" fontId="156" fillId="0" borderId="0" xfId="0" applyNumberFormat="1" applyFont="1"/>
    <xf numFmtId="3" fontId="157" fillId="0" borderId="0" xfId="0" applyNumberFormat="1" applyFont="1"/>
    <xf numFmtId="3" fontId="156" fillId="32" borderId="0" xfId="0" applyNumberFormat="1" applyFont="1" applyFill="1"/>
    <xf numFmtId="3" fontId="156" fillId="34" borderId="0" xfId="0" applyNumberFormat="1" applyFont="1" applyFill="1"/>
    <xf numFmtId="3" fontId="156" fillId="33" borderId="0" xfId="0" applyNumberFormat="1" applyFont="1" applyFill="1"/>
    <xf numFmtId="3" fontId="156" fillId="24" borderId="0" xfId="0" applyNumberFormat="1" applyFont="1" applyFill="1"/>
    <xf numFmtId="0" fontId="156" fillId="0" borderId="7" xfId="0" applyFont="1" applyBorder="1"/>
    <xf numFmtId="3" fontId="157" fillId="0" borderId="7" xfId="0" applyNumberFormat="1" applyFont="1" applyBorder="1"/>
    <xf numFmtId="0" fontId="69" fillId="30" borderId="0" xfId="0" applyFont="1" applyFill="1"/>
    <xf numFmtId="0" fontId="69" fillId="0" borderId="0" xfId="0" applyFont="1" applyAlignment="1">
      <alignment horizontal="right"/>
    </xf>
    <xf numFmtId="166" fontId="69" fillId="8" borderId="0" xfId="0" applyNumberFormat="1" applyFont="1" applyFill="1" applyAlignment="1">
      <alignment horizontal="right"/>
    </xf>
    <xf numFmtId="0" fontId="108" fillId="10" borderId="0" xfId="0" applyFont="1" applyFill="1"/>
    <xf numFmtId="0" fontId="108" fillId="10" borderId="0" xfId="0" applyFont="1" applyFill="1" applyAlignment="1">
      <alignment horizontal="right"/>
    </xf>
    <xf numFmtId="0" fontId="108" fillId="10" borderId="2" xfId="0" applyFont="1" applyFill="1" applyBorder="1"/>
    <xf numFmtId="0" fontId="108" fillId="10" borderId="2" xfId="0" applyFont="1" applyFill="1" applyBorder="1" applyAlignment="1">
      <alignment horizontal="right"/>
    </xf>
    <xf numFmtId="0" fontId="69" fillId="8" borderId="0" xfId="0" applyFont="1" applyFill="1"/>
    <xf numFmtId="166" fontId="69" fillId="8" borderId="0" xfId="2" applyNumberFormat="1" applyFont="1" applyFill="1" applyAlignment="1">
      <alignment horizontal="right"/>
    </xf>
    <xf numFmtId="167" fontId="88" fillId="8" borderId="0" xfId="2" applyNumberFormat="1" applyFont="1" applyFill="1" applyAlignment="1">
      <alignment horizontal="right"/>
    </xf>
    <xf numFmtId="167" fontId="88" fillId="8" borderId="2" xfId="2" applyNumberFormat="1" applyFont="1" applyFill="1" applyBorder="1" applyAlignment="1">
      <alignment horizontal="right"/>
    </xf>
    <xf numFmtId="169" fontId="88" fillId="8" borderId="0" xfId="0" quotePrefix="1" applyNumberFormat="1" applyFont="1" applyFill="1"/>
    <xf numFmtId="169" fontId="88" fillId="8" borderId="2" xfId="0" quotePrefix="1" applyNumberFormat="1" applyFont="1" applyFill="1" applyBorder="1"/>
    <xf numFmtId="0" fontId="97" fillId="0" borderId="2" xfId="0" applyFont="1" applyBorder="1"/>
    <xf numFmtId="165" fontId="133" fillId="20" borderId="22" xfId="2" applyNumberFormat="1" applyFont="1" applyFill="1" applyBorder="1" applyAlignment="1">
      <alignment horizontal="right" vertical="center"/>
    </xf>
    <xf numFmtId="165" fontId="133" fillId="0" borderId="22" xfId="2" applyNumberFormat="1" applyFont="1" applyBorder="1" applyAlignment="1">
      <alignment horizontal="right" vertical="center"/>
    </xf>
    <xf numFmtId="165" fontId="133" fillId="0" borderId="43" xfId="2" applyNumberFormat="1" applyFont="1" applyBorder="1" applyAlignment="1">
      <alignment horizontal="right" vertical="center"/>
    </xf>
    <xf numFmtId="165" fontId="2" fillId="0" borderId="4" xfId="2" applyNumberFormat="1" applyFont="1" applyFill="1" applyBorder="1" applyAlignment="1">
      <alignment horizontal="right" vertical="center"/>
    </xf>
    <xf numFmtId="165" fontId="2" fillId="0" borderId="42" xfId="2" applyNumberFormat="1" applyFont="1" applyFill="1" applyBorder="1" applyAlignment="1">
      <alignment horizontal="right" vertical="center"/>
    </xf>
    <xf numFmtId="165" fontId="2" fillId="0" borderId="43" xfId="2" applyNumberFormat="1" applyFont="1" applyBorder="1" applyAlignment="1">
      <alignment horizontal="right" vertical="center"/>
    </xf>
    <xf numFmtId="166" fontId="133" fillId="0" borderId="42" xfId="2" applyNumberFormat="1" applyFont="1" applyBorder="1" applyAlignment="1">
      <alignment horizontal="right" vertical="center"/>
    </xf>
    <xf numFmtId="166" fontId="133" fillId="0" borderId="4" xfId="2" applyNumberFormat="1" applyFont="1" applyBorder="1" applyAlignment="1">
      <alignment horizontal="right" vertical="center"/>
    </xf>
    <xf numFmtId="166" fontId="133" fillId="20" borderId="4" xfId="2" applyNumberFormat="1" applyFont="1" applyFill="1" applyBorder="1" applyAlignment="1">
      <alignment horizontal="right" vertical="center"/>
    </xf>
    <xf numFmtId="166" fontId="133" fillId="0" borderId="43" xfId="2" applyNumberFormat="1" applyFont="1" applyBorder="1" applyAlignment="1">
      <alignment horizontal="right" vertical="center"/>
    </xf>
    <xf numFmtId="166" fontId="133" fillId="0" borderId="2" xfId="2" applyNumberFormat="1" applyFont="1" applyBorder="1" applyAlignment="1">
      <alignment horizontal="right" vertical="center"/>
    </xf>
    <xf numFmtId="166" fontId="133" fillId="20" borderId="2" xfId="2" applyNumberFormat="1" applyFont="1" applyFill="1" applyBorder="1" applyAlignment="1">
      <alignment horizontal="right" vertical="center"/>
    </xf>
    <xf numFmtId="168" fontId="3" fillId="0" borderId="0" xfId="1" applyNumberFormat="1" applyFont="1" applyFill="1" applyBorder="1"/>
    <xf numFmtId="166" fontId="28" fillId="0" borderId="0" xfId="2" applyNumberFormat="1" applyFont="1" applyFill="1" applyBorder="1" applyAlignment="1">
      <alignment horizontal="right"/>
    </xf>
    <xf numFmtId="167" fontId="2" fillId="6" borderId="4" xfId="2" applyNumberFormat="1" applyFont="1" applyFill="1" applyBorder="1" applyAlignment="1">
      <alignment horizontal="right" vertical="center"/>
    </xf>
    <xf numFmtId="167" fontId="2" fillId="6" borderId="22" xfId="2" applyNumberFormat="1" applyFont="1" applyFill="1" applyBorder="1" applyAlignment="1">
      <alignment horizontal="right" vertical="center"/>
    </xf>
    <xf numFmtId="167" fontId="3" fillId="6" borderId="0" xfId="2" applyNumberFormat="1" applyFont="1" applyFill="1"/>
    <xf numFmtId="167" fontId="3" fillId="6" borderId="0" xfId="2" applyNumberFormat="1" applyFont="1" applyFill="1" applyAlignment="1">
      <alignment horizontal="right"/>
    </xf>
    <xf numFmtId="167" fontId="3" fillId="6" borderId="2" xfId="2" applyNumberFormat="1" applyFont="1" applyFill="1" applyBorder="1" applyAlignment="1">
      <alignment horizontal="right"/>
    </xf>
    <xf numFmtId="166" fontId="27" fillId="9" borderId="0" xfId="2" applyNumberFormat="1" applyFont="1" applyFill="1"/>
    <xf numFmtId="168" fontId="133" fillId="0" borderId="62" xfId="1" applyNumberFormat="1" applyFont="1" applyBorder="1" applyAlignment="1">
      <alignment horizontal="right" vertical="center"/>
    </xf>
    <xf numFmtId="169" fontId="159" fillId="3" borderId="0" xfId="0" applyNumberFormat="1" applyFont="1" applyFill="1" applyAlignment="1">
      <alignment horizontal="left" vertical="center"/>
    </xf>
    <xf numFmtId="169" fontId="21" fillId="3" borderId="0" xfId="0" applyNumberFormat="1" applyFont="1" applyFill="1" applyAlignment="1">
      <alignment horizontal="left" vertical="center"/>
    </xf>
    <xf numFmtId="171" fontId="51" fillId="0" borderId="0" xfId="0" applyNumberFormat="1" applyFont="1"/>
    <xf numFmtId="169" fontId="2" fillId="6" borderId="0" xfId="0" applyNumberFormat="1" applyFont="1" applyFill="1" applyAlignment="1">
      <alignment horizontal="left" vertical="top"/>
    </xf>
    <xf numFmtId="169" fontId="2" fillId="6" borderId="0" xfId="0" applyNumberFormat="1" applyFont="1" applyFill="1" applyAlignment="1">
      <alignment horizontal="right" vertical="top"/>
    </xf>
    <xf numFmtId="167" fontId="2" fillId="6" borderId="0" xfId="2" applyNumberFormat="1" applyFont="1" applyFill="1" applyAlignment="1">
      <alignment horizontal="right" vertical="top"/>
    </xf>
    <xf numFmtId="169" fontId="9" fillId="6" borderId="0" xfId="0" applyNumberFormat="1" applyFont="1" applyFill="1" applyAlignment="1">
      <alignment horizontal="left" vertical="top"/>
    </xf>
    <xf numFmtId="169" fontId="9" fillId="6" borderId="0" xfId="0" applyNumberFormat="1" applyFont="1" applyFill="1" applyAlignment="1">
      <alignment horizontal="right" vertical="top"/>
    </xf>
    <xf numFmtId="167" fontId="9" fillId="6" borderId="0" xfId="2" applyNumberFormat="1" applyFont="1" applyFill="1" applyAlignment="1">
      <alignment horizontal="right" vertical="top"/>
    </xf>
    <xf numFmtId="166" fontId="158" fillId="6" borderId="9" xfId="2" applyNumberFormat="1" applyFont="1" applyFill="1" applyBorder="1" applyAlignment="1">
      <alignment horizontal="left" vertical="top"/>
    </xf>
    <xf numFmtId="167" fontId="158" fillId="6" borderId="9" xfId="2" applyNumberFormat="1" applyFont="1" applyFill="1" applyBorder="1" applyAlignment="1">
      <alignment horizontal="right" vertical="top"/>
    </xf>
    <xf numFmtId="167" fontId="158" fillId="24" borderId="0" xfId="2" applyNumberFormat="1" applyFont="1" applyFill="1" applyBorder="1" applyAlignment="1">
      <alignment horizontal="left"/>
    </xf>
    <xf numFmtId="167" fontId="158" fillId="24" borderId="0" xfId="2" applyNumberFormat="1" applyFont="1" applyFill="1" applyBorder="1" applyAlignment="1">
      <alignment horizontal="right"/>
    </xf>
    <xf numFmtId="169" fontId="2" fillId="15" borderId="0" xfId="0" applyNumberFormat="1" applyFont="1" applyFill="1" applyAlignment="1">
      <alignment horizontal="right" vertical="top"/>
    </xf>
    <xf numFmtId="169" fontId="3" fillId="15" borderId="0" xfId="0" applyNumberFormat="1" applyFont="1" applyFill="1" applyAlignment="1">
      <alignment vertical="top"/>
    </xf>
    <xf numFmtId="167" fontId="162" fillId="6" borderId="0" xfId="2" applyNumberFormat="1" applyFont="1" applyFill="1" applyAlignment="1">
      <alignment horizontal="right"/>
    </xf>
    <xf numFmtId="169" fontId="3" fillId="15" borderId="0" xfId="0" applyNumberFormat="1" applyFont="1" applyFill="1" applyAlignment="1">
      <alignment horizontal="right" vertical="top"/>
    </xf>
    <xf numFmtId="166" fontId="78" fillId="9" borderId="0" xfId="2" applyNumberFormat="1" applyFont="1" applyFill="1" applyAlignment="1">
      <alignment vertical="top"/>
    </xf>
    <xf numFmtId="165" fontId="2" fillId="20" borderId="22" xfId="2" applyNumberFormat="1" applyFont="1" applyFill="1" applyBorder="1" applyAlignment="1">
      <alignment horizontal="right" vertical="center"/>
    </xf>
    <xf numFmtId="165" fontId="2" fillId="0" borderId="22" xfId="2" applyNumberFormat="1" applyFont="1" applyBorder="1" applyAlignment="1">
      <alignment horizontal="right" vertical="center"/>
    </xf>
    <xf numFmtId="169" fontId="110" fillId="3" borderId="0" xfId="0" applyNumberFormat="1" applyFont="1" applyFill="1" applyAlignment="1">
      <alignment horizontal="left" vertical="center"/>
    </xf>
    <xf numFmtId="165" fontId="2" fillId="0" borderId="62" xfId="2" applyNumberFormat="1" applyFont="1" applyBorder="1" applyAlignment="1">
      <alignment horizontal="right" vertical="center"/>
    </xf>
    <xf numFmtId="166" fontId="27" fillId="0" borderId="0" xfId="2" applyNumberFormat="1" applyFont="1" applyFill="1" applyAlignment="1">
      <alignment horizontal="left" vertical="top"/>
    </xf>
    <xf numFmtId="167" fontId="56" fillId="0" borderId="0" xfId="2" applyNumberFormat="1" applyFont="1" applyFill="1"/>
    <xf numFmtId="167" fontId="51" fillId="35" borderId="0" xfId="0" applyNumberFormat="1" applyFont="1" applyFill="1" applyAlignment="1">
      <alignment horizontal="right"/>
    </xf>
    <xf numFmtId="176" fontId="51" fillId="24" borderId="0" xfId="0" applyNumberFormat="1" applyFont="1" applyFill="1" applyAlignment="1">
      <alignment horizontal="right"/>
    </xf>
    <xf numFmtId="167" fontId="158" fillId="0" borderId="0" xfId="2" applyNumberFormat="1" applyFont="1" applyFill="1" applyBorder="1" applyAlignment="1">
      <alignment horizontal="right"/>
    </xf>
    <xf numFmtId="164" fontId="25" fillId="4" borderId="9" xfId="2" applyNumberFormat="1" applyFont="1" applyFill="1" applyBorder="1" applyAlignment="1">
      <alignment horizontal="right" vertical="top"/>
    </xf>
    <xf numFmtId="164" fontId="25" fillId="0" borderId="9" xfId="2" applyNumberFormat="1" applyFont="1" applyBorder="1" applyAlignment="1">
      <alignment horizontal="right" vertical="top"/>
    </xf>
    <xf numFmtId="164" fontId="25" fillId="4" borderId="8" xfId="2" applyNumberFormat="1" applyFont="1" applyFill="1" applyBorder="1" applyAlignment="1">
      <alignment horizontal="right" vertical="top"/>
    </xf>
    <xf numFmtId="164" fontId="25" fillId="3" borderId="8" xfId="2" applyNumberFormat="1" applyFont="1" applyFill="1" applyBorder="1" applyAlignment="1">
      <alignment horizontal="right" vertical="top"/>
    </xf>
    <xf numFmtId="164" fontId="25" fillId="4" borderId="11" xfId="2" applyNumberFormat="1" applyFont="1" applyFill="1" applyBorder="1" applyAlignment="1">
      <alignment horizontal="right" vertical="top"/>
    </xf>
    <xf numFmtId="164" fontId="25" fillId="0" borderId="11" xfId="2" applyNumberFormat="1" applyFont="1" applyBorder="1" applyAlignment="1">
      <alignment horizontal="right" vertical="top"/>
    </xf>
    <xf numFmtId="169" fontId="25" fillId="0" borderId="0" xfId="0" applyNumberFormat="1" applyFont="1" applyAlignment="1">
      <alignment horizontal="right" vertical="top"/>
    </xf>
    <xf numFmtId="169" fontId="56" fillId="9" borderId="0" xfId="0" applyNumberFormat="1" applyFont="1" applyFill="1"/>
    <xf numFmtId="169" fontId="106" fillId="9" borderId="0" xfId="0" applyNumberFormat="1" applyFont="1" applyFill="1"/>
    <xf numFmtId="166" fontId="106" fillId="9" borderId="0" xfId="2" applyNumberFormat="1" applyFont="1" applyFill="1" applyAlignment="1">
      <alignment horizontal="right"/>
    </xf>
    <xf numFmtId="169" fontId="161" fillId="0" borderId="0" xfId="0" applyNumberFormat="1" applyFont="1" applyAlignment="1">
      <alignment vertical="top"/>
    </xf>
    <xf numFmtId="166" fontId="78" fillId="18" borderId="0" xfId="2" applyNumberFormat="1" applyFont="1" applyFill="1" applyAlignment="1">
      <alignment vertical="top"/>
    </xf>
    <xf numFmtId="169" fontId="130" fillId="0" borderId="29" xfId="0" applyNumberFormat="1" applyFont="1" applyBorder="1" applyAlignment="1">
      <alignment vertical="center"/>
    </xf>
    <xf numFmtId="169" fontId="3" fillId="0" borderId="29" xfId="0" applyNumberFormat="1" applyFont="1" applyBorder="1" applyAlignment="1">
      <alignment horizontal="left" vertical="center"/>
    </xf>
    <xf numFmtId="169" fontId="130" fillId="0" borderId="30" xfId="0" applyNumberFormat="1" applyFont="1" applyBorder="1" applyAlignment="1">
      <alignment vertical="center"/>
    </xf>
    <xf numFmtId="169" fontId="3" fillId="0" borderId="41" xfId="2" applyNumberFormat="1" applyFont="1" applyFill="1" applyBorder="1" applyAlignment="1">
      <alignment vertical="center"/>
    </xf>
    <xf numFmtId="164" fontId="3" fillId="20" borderId="29" xfId="2" applyNumberFormat="1" applyFont="1" applyFill="1" applyBorder="1" applyAlignment="1">
      <alignment horizontal="right" vertical="center"/>
    </xf>
    <xf numFmtId="164" fontId="3" fillId="0" borderId="29" xfId="2" applyNumberFormat="1" applyFont="1" applyFill="1" applyBorder="1" applyAlignment="1">
      <alignment horizontal="right" vertical="center"/>
    </xf>
    <xf numFmtId="164" fontId="3" fillId="20" borderId="18" xfId="2" applyNumberFormat="1" applyFont="1" applyFill="1" applyBorder="1" applyAlignment="1">
      <alignment horizontal="right" vertical="center"/>
    </xf>
    <xf numFmtId="164" fontId="3" fillId="0" borderId="18" xfId="2" applyNumberFormat="1" applyFont="1" applyFill="1" applyBorder="1" applyAlignment="1">
      <alignment horizontal="right" vertical="center"/>
    </xf>
    <xf numFmtId="164" fontId="3" fillId="20" borderId="29" xfId="2" applyNumberFormat="1" applyFont="1" applyFill="1" applyBorder="1" applyAlignment="1">
      <alignment horizontal="center" vertical="center"/>
    </xf>
    <xf numFmtId="164" fontId="3" fillId="0" borderId="29" xfId="2" applyNumberFormat="1" applyFont="1" applyFill="1" applyBorder="1" applyAlignment="1">
      <alignment horizontal="center" vertical="center"/>
    </xf>
    <xf numFmtId="167" fontId="3" fillId="0" borderId="0" xfId="2" applyNumberFormat="1" applyFont="1" applyAlignment="1">
      <alignment horizontal="center"/>
    </xf>
    <xf numFmtId="164" fontId="3" fillId="20" borderId="18" xfId="2" applyNumberFormat="1" applyFont="1" applyFill="1" applyBorder="1" applyAlignment="1">
      <alignment horizontal="center" vertical="center"/>
    </xf>
    <xf numFmtId="164" fontId="3" fillId="0" borderId="18" xfId="2" applyNumberFormat="1" applyFont="1" applyFill="1" applyBorder="1" applyAlignment="1">
      <alignment horizontal="center" vertical="center"/>
    </xf>
    <xf numFmtId="167" fontId="89" fillId="0" borderId="0" xfId="2" applyNumberFormat="1" applyFont="1"/>
    <xf numFmtId="167" fontId="89" fillId="0" borderId="2" xfId="2" applyNumberFormat="1" applyFont="1" applyBorder="1"/>
    <xf numFmtId="167" fontId="49" fillId="0" borderId="2" xfId="2" applyNumberFormat="1" applyFont="1" applyBorder="1"/>
    <xf numFmtId="9" fontId="164" fillId="0" borderId="0" xfId="1" applyFont="1"/>
    <xf numFmtId="167" fontId="89" fillId="0" borderId="2" xfId="2" applyNumberFormat="1" applyFont="1" applyBorder="1" applyAlignment="1">
      <alignment horizontal="right"/>
    </xf>
    <xf numFmtId="167" fontId="164" fillId="0" borderId="2" xfId="2" applyNumberFormat="1" applyFont="1" applyBorder="1" applyAlignment="1">
      <alignment horizontal="right"/>
    </xf>
    <xf numFmtId="167" fontId="163" fillId="0" borderId="0" xfId="2" applyNumberFormat="1" applyFont="1"/>
    <xf numFmtId="167" fontId="163" fillId="0" borderId="2" xfId="2" applyNumberFormat="1" applyFont="1" applyBorder="1"/>
    <xf numFmtId="165" fontId="49" fillId="0" borderId="0" xfId="2" applyNumberFormat="1" applyFont="1"/>
    <xf numFmtId="165" fontId="49" fillId="0" borderId="2" xfId="2" applyNumberFormat="1" applyFont="1" applyBorder="1"/>
    <xf numFmtId="165" fontId="163" fillId="0" borderId="2" xfId="2" applyNumberFormat="1" applyFont="1" applyBorder="1"/>
    <xf numFmtId="168" fontId="163" fillId="0" borderId="2" xfId="1" applyNumberFormat="1" applyFont="1" applyBorder="1"/>
    <xf numFmtId="9" fontId="49" fillId="0" borderId="0" xfId="1" applyFont="1"/>
    <xf numFmtId="9" fontId="163" fillId="0" borderId="2" xfId="1" applyFont="1" applyBorder="1"/>
    <xf numFmtId="165" fontId="163" fillId="0" borderId="0" xfId="2" applyNumberFormat="1" applyFont="1"/>
    <xf numFmtId="165" fontId="164" fillId="0" borderId="0" xfId="2" applyNumberFormat="1" applyFont="1"/>
    <xf numFmtId="167" fontId="164" fillId="0" borderId="0" xfId="2" applyNumberFormat="1" applyFont="1" applyAlignment="1">
      <alignment vertical="top" wrapText="1"/>
    </xf>
    <xf numFmtId="167" fontId="164" fillId="0" borderId="2" xfId="2" applyNumberFormat="1" applyFont="1" applyBorder="1"/>
    <xf numFmtId="167" fontId="164" fillId="0" borderId="0" xfId="2" applyNumberFormat="1" applyFont="1"/>
    <xf numFmtId="167" fontId="164" fillId="0" borderId="0" xfId="2" applyNumberFormat="1" applyFont="1" applyBorder="1"/>
    <xf numFmtId="168" fontId="163" fillId="0" borderId="0" xfId="1" applyNumberFormat="1" applyFont="1"/>
    <xf numFmtId="168" fontId="164" fillId="0" borderId="0" xfId="1" applyNumberFormat="1" applyFont="1"/>
    <xf numFmtId="167" fontId="39" fillId="0" borderId="2" xfId="2" applyNumberFormat="1" applyFont="1" applyBorder="1"/>
    <xf numFmtId="167" fontId="38" fillId="0" borderId="2" xfId="2" applyNumberFormat="1" applyFont="1" applyBorder="1"/>
    <xf numFmtId="168" fontId="164" fillId="0" borderId="0" xfId="1" applyNumberFormat="1" applyFont="1" applyBorder="1"/>
    <xf numFmtId="165" fontId="89" fillId="0" borderId="0" xfId="2" applyNumberFormat="1" applyFont="1"/>
    <xf numFmtId="165" fontId="163" fillId="0" borderId="0" xfId="2" applyNumberFormat="1" applyFont="1" applyBorder="1"/>
    <xf numFmtId="167" fontId="132" fillId="0" borderId="0" xfId="2" applyNumberFormat="1" applyFont="1" applyFill="1" applyAlignment="1">
      <alignment horizontal="right"/>
    </xf>
    <xf numFmtId="169" fontId="3" fillId="0" borderId="2" xfId="0" quotePrefix="1" applyNumberFormat="1" applyFont="1" applyBorder="1"/>
    <xf numFmtId="167" fontId="132" fillId="0" borderId="2" xfId="2" applyNumberFormat="1" applyFont="1" applyFill="1" applyBorder="1" applyAlignment="1">
      <alignment horizontal="right"/>
    </xf>
    <xf numFmtId="167" fontId="131" fillId="0" borderId="0" xfId="2" applyNumberFormat="1" applyFont="1" applyFill="1" applyAlignment="1">
      <alignment horizontal="right"/>
    </xf>
    <xf numFmtId="167" fontId="151" fillId="0" borderId="0" xfId="2" applyNumberFormat="1" applyFont="1" applyFill="1" applyAlignment="1">
      <alignment horizontal="right"/>
    </xf>
    <xf numFmtId="169" fontId="3" fillId="0" borderId="2" xfId="0" applyNumberFormat="1" applyFont="1" applyBorder="1"/>
    <xf numFmtId="167" fontId="128" fillId="0" borderId="0" xfId="2" applyNumberFormat="1" applyFont="1" applyFill="1" applyAlignment="1">
      <alignment horizontal="right"/>
    </xf>
    <xf numFmtId="168" fontId="132" fillId="0" borderId="0" xfId="1" applyNumberFormat="1" applyFont="1" applyFill="1" applyAlignment="1">
      <alignment horizontal="right"/>
    </xf>
    <xf numFmtId="168" fontId="132" fillId="0" borderId="2" xfId="1" applyNumberFormat="1" applyFont="1" applyFill="1" applyBorder="1" applyAlignment="1">
      <alignment horizontal="right"/>
    </xf>
    <xf numFmtId="168" fontId="131" fillId="0" borderId="0" xfId="1" applyNumberFormat="1" applyFont="1" applyFill="1" applyAlignment="1">
      <alignment horizontal="right"/>
    </xf>
    <xf numFmtId="167" fontId="88" fillId="0" borderId="0" xfId="2" applyNumberFormat="1" applyFont="1" applyFill="1" applyAlignment="1">
      <alignment horizontal="right"/>
    </xf>
    <xf numFmtId="169" fontId="155" fillId="0" borderId="0" xfId="0" applyNumberFormat="1" applyFont="1"/>
    <xf numFmtId="167" fontId="165" fillId="0" borderId="0" xfId="2" applyNumberFormat="1" applyFont="1" applyFill="1" applyAlignment="1">
      <alignment horizontal="right"/>
    </xf>
    <xf numFmtId="169" fontId="155" fillId="0" borderId="0" xfId="0" quotePrefix="1" applyNumberFormat="1" applyFont="1"/>
    <xf numFmtId="169" fontId="88" fillId="0" borderId="0" xfId="0" quotePrefix="1" applyNumberFormat="1" applyFont="1"/>
    <xf numFmtId="167" fontId="154" fillId="0" borderId="0" xfId="2" applyNumberFormat="1" applyFont="1" applyFill="1" applyAlignment="1">
      <alignment horizontal="right"/>
    </xf>
    <xf numFmtId="169" fontId="88" fillId="0" borderId="0" xfId="0" applyNumberFormat="1" applyFont="1"/>
    <xf numFmtId="166" fontId="88" fillId="0" borderId="0" xfId="2" applyNumberFormat="1" applyFont="1" applyFill="1" applyAlignment="1">
      <alignment horizontal="right"/>
    </xf>
    <xf numFmtId="167" fontId="132" fillId="19" borderId="0" xfId="2" applyNumberFormat="1" applyFont="1" applyFill="1" applyAlignment="1">
      <alignment horizontal="right"/>
    </xf>
    <xf numFmtId="167" fontId="132" fillId="19" borderId="2" xfId="2" applyNumberFormat="1" applyFont="1" applyFill="1" applyBorder="1" applyAlignment="1">
      <alignment horizontal="right"/>
    </xf>
    <xf numFmtId="167" fontId="131" fillId="19" borderId="0" xfId="2" applyNumberFormat="1" applyFont="1" applyFill="1" applyAlignment="1">
      <alignment horizontal="right"/>
    </xf>
    <xf numFmtId="169" fontId="3" fillId="19" borderId="0" xfId="0" applyNumberFormat="1" applyFont="1" applyFill="1"/>
    <xf numFmtId="167" fontId="151" fillId="19" borderId="0" xfId="2" applyNumberFormat="1" applyFont="1" applyFill="1" applyAlignment="1">
      <alignment horizontal="right"/>
    </xf>
    <xf numFmtId="167" fontId="151" fillId="19" borderId="2" xfId="2" applyNumberFormat="1" applyFont="1" applyFill="1" applyBorder="1" applyAlignment="1">
      <alignment horizontal="right"/>
    </xf>
    <xf numFmtId="167" fontId="128" fillId="19" borderId="0" xfId="2" applyNumberFormat="1" applyFont="1" applyFill="1" applyAlignment="1">
      <alignment horizontal="right"/>
    </xf>
    <xf numFmtId="167" fontId="88" fillId="19" borderId="0" xfId="2" applyNumberFormat="1" applyFont="1" applyFill="1" applyAlignment="1">
      <alignment horizontal="right"/>
    </xf>
    <xf numFmtId="168" fontId="132" fillId="19" borderId="0" xfId="1" applyNumberFormat="1" applyFont="1" applyFill="1" applyAlignment="1">
      <alignment horizontal="right"/>
    </xf>
    <xf numFmtId="168" fontId="132" fillId="19" borderId="2" xfId="1" applyNumberFormat="1" applyFont="1" applyFill="1" applyBorder="1" applyAlignment="1">
      <alignment horizontal="right"/>
    </xf>
    <xf numFmtId="168" fontId="131" fillId="19" borderId="0" xfId="1" applyNumberFormat="1" applyFont="1" applyFill="1" applyAlignment="1">
      <alignment horizontal="right"/>
    </xf>
    <xf numFmtId="166" fontId="88" fillId="19" borderId="0" xfId="2" applyNumberFormat="1" applyFont="1" applyFill="1" applyAlignment="1">
      <alignment horizontal="right"/>
    </xf>
    <xf numFmtId="169" fontId="3" fillId="19" borderId="2" xfId="0" applyNumberFormat="1" applyFont="1" applyFill="1" applyBorder="1"/>
    <xf numFmtId="169" fontId="32" fillId="19" borderId="0" xfId="0" applyNumberFormat="1" applyFont="1" applyFill="1"/>
    <xf numFmtId="168" fontId="132" fillId="3" borderId="0" xfId="1" applyNumberFormat="1" applyFont="1" applyFill="1" applyAlignment="1">
      <alignment horizontal="right"/>
    </xf>
    <xf numFmtId="168" fontId="132" fillId="3" borderId="2" xfId="1" applyNumberFormat="1" applyFont="1" applyFill="1" applyBorder="1" applyAlignment="1">
      <alignment horizontal="right"/>
    </xf>
    <xf numFmtId="168" fontId="131" fillId="3" borderId="0" xfId="1" applyNumberFormat="1" applyFont="1" applyFill="1" applyAlignment="1">
      <alignment horizontal="right"/>
    </xf>
    <xf numFmtId="166" fontId="88" fillId="3" borderId="0" xfId="2" applyNumberFormat="1" applyFont="1" applyFill="1" applyAlignment="1">
      <alignment horizontal="right"/>
    </xf>
    <xf numFmtId="167" fontId="88" fillId="3" borderId="0" xfId="2" applyNumberFormat="1" applyFont="1" applyFill="1" applyAlignment="1">
      <alignment horizontal="right"/>
    </xf>
    <xf numFmtId="167" fontId="132" fillId="3" borderId="2" xfId="2" applyNumberFormat="1" applyFont="1" applyFill="1" applyBorder="1" applyAlignment="1">
      <alignment horizontal="right"/>
    </xf>
    <xf numFmtId="169" fontId="3" fillId="0" borderId="2" xfId="0" applyNumberFormat="1" applyFont="1" applyBorder="1" applyAlignment="1">
      <alignment horizontal="right"/>
    </xf>
    <xf numFmtId="169" fontId="2" fillId="3" borderId="39" xfId="2" applyNumberFormat="1" applyFont="1" applyFill="1" applyBorder="1" applyAlignment="1">
      <alignment horizontal="left"/>
    </xf>
    <xf numFmtId="167" fontId="3" fillId="0" borderId="0" xfId="2" applyNumberFormat="1" applyFont="1" applyFill="1" applyAlignment="1">
      <alignment horizontal="center"/>
    </xf>
    <xf numFmtId="169" fontId="134" fillId="0" borderId="0" xfId="0" applyNumberFormat="1" applyFont="1"/>
    <xf numFmtId="169" fontId="133" fillId="0" borderId="0" xfId="0" applyNumberFormat="1" applyFont="1" applyAlignment="1">
      <alignment horizontal="left" indent="1"/>
    </xf>
    <xf numFmtId="165" fontId="133" fillId="20" borderId="0" xfId="2" applyNumberFormat="1" applyFont="1" applyFill="1" applyAlignment="1">
      <alignment horizontal="right"/>
    </xf>
    <xf numFmtId="165" fontId="133" fillId="0" borderId="0" xfId="2" applyNumberFormat="1" applyFont="1" applyAlignment="1">
      <alignment horizontal="right"/>
    </xf>
    <xf numFmtId="169" fontId="133" fillId="20" borderId="0" xfId="0" applyNumberFormat="1" applyFont="1" applyFill="1" applyAlignment="1">
      <alignment horizontal="right"/>
    </xf>
    <xf numFmtId="169" fontId="133" fillId="0" borderId="0" xfId="0" applyNumberFormat="1" applyFont="1" applyAlignment="1">
      <alignment horizontal="right"/>
    </xf>
    <xf numFmtId="165" fontId="133" fillId="20" borderId="4" xfId="2" applyNumberFormat="1" applyFont="1" applyFill="1" applyBorder="1" applyAlignment="1">
      <alignment horizontal="right"/>
    </xf>
    <xf numFmtId="169" fontId="133" fillId="0" borderId="22" xfId="0" applyNumberFormat="1" applyFont="1" applyBorder="1" applyAlignment="1">
      <alignment horizontal="left" indent="1"/>
    </xf>
    <xf numFmtId="165" fontId="133" fillId="20" borderId="22" xfId="2" applyNumberFormat="1" applyFont="1" applyFill="1" applyBorder="1" applyAlignment="1">
      <alignment horizontal="right"/>
    </xf>
    <xf numFmtId="165" fontId="133" fillId="0" borderId="22" xfId="2" applyNumberFormat="1" applyFont="1" applyBorder="1" applyAlignment="1">
      <alignment horizontal="right"/>
    </xf>
    <xf numFmtId="169" fontId="134" fillId="0" borderId="4" xfId="0" applyNumberFormat="1" applyFont="1" applyBorder="1"/>
    <xf numFmtId="165" fontId="134" fillId="20" borderId="4" xfId="2" applyNumberFormat="1" applyFont="1" applyFill="1" applyBorder="1" applyAlignment="1">
      <alignment horizontal="right"/>
    </xf>
    <xf numFmtId="165" fontId="134" fillId="0" borderId="4" xfId="2" applyNumberFormat="1" applyFont="1" applyBorder="1" applyAlignment="1">
      <alignment horizontal="right"/>
    </xf>
    <xf numFmtId="169" fontId="133" fillId="0" borderId="5" xfId="0" applyNumberFormat="1" applyFont="1" applyBorder="1" applyAlignment="1">
      <alignment horizontal="left" indent="1"/>
    </xf>
    <xf numFmtId="165" fontId="133" fillId="20" borderId="5" xfId="2" applyNumberFormat="1" applyFont="1" applyFill="1" applyBorder="1" applyAlignment="1">
      <alignment horizontal="right"/>
    </xf>
    <xf numFmtId="165" fontId="133" fillId="0" borderId="5" xfId="2" applyNumberFormat="1" applyFont="1" applyBorder="1" applyAlignment="1">
      <alignment horizontal="right"/>
    </xf>
    <xf numFmtId="165" fontId="134" fillId="20" borderId="0" xfId="2" applyNumberFormat="1" applyFont="1" applyFill="1" applyAlignment="1">
      <alignment horizontal="right"/>
    </xf>
    <xf numFmtId="165" fontId="134" fillId="0" borderId="0" xfId="2" applyNumberFormat="1" applyFont="1" applyAlignment="1">
      <alignment horizontal="right"/>
    </xf>
    <xf numFmtId="169" fontId="134" fillId="0" borderId="0" xfId="0" applyNumberFormat="1" applyFont="1" applyAlignment="1">
      <alignment horizontal="left" indent="1"/>
    </xf>
    <xf numFmtId="171" fontId="134" fillId="20" borderId="0" xfId="0" applyNumberFormat="1" applyFont="1" applyFill="1" applyAlignment="1">
      <alignment horizontal="right"/>
    </xf>
    <xf numFmtId="171" fontId="134" fillId="0" borderId="0" xfId="0" applyNumberFormat="1" applyFont="1" applyAlignment="1">
      <alignment horizontal="right"/>
    </xf>
    <xf numFmtId="169" fontId="134" fillId="0" borderId="3" xfId="0" applyNumberFormat="1" applyFont="1" applyBorder="1"/>
    <xf numFmtId="165" fontId="134" fillId="20" borderId="3" xfId="2" applyNumberFormat="1" applyFont="1" applyFill="1" applyBorder="1" applyAlignment="1">
      <alignment horizontal="right"/>
    </xf>
    <xf numFmtId="165" fontId="134" fillId="0" borderId="3" xfId="2" applyNumberFormat="1" applyFont="1" applyBorder="1" applyAlignment="1">
      <alignment horizontal="right"/>
    </xf>
    <xf numFmtId="169" fontId="133" fillId="0" borderId="4" xfId="0" applyNumberFormat="1" applyFont="1" applyBorder="1"/>
    <xf numFmtId="169" fontId="133" fillId="0" borderId="22" xfId="0" applyNumberFormat="1" applyFont="1" applyBorder="1"/>
    <xf numFmtId="169" fontId="134" fillId="0" borderId="7" xfId="0" applyNumberFormat="1" applyFont="1" applyBorder="1"/>
    <xf numFmtId="1" fontId="134" fillId="2" borderId="2" xfId="0" applyNumberFormat="1" applyFont="1" applyFill="1" applyBorder="1" applyAlignment="1">
      <alignment horizontal="right"/>
    </xf>
    <xf numFmtId="165" fontId="133" fillId="4" borderId="22" xfId="2" applyNumberFormat="1" applyFont="1" applyFill="1" applyBorder="1" applyAlignment="1">
      <alignment horizontal="right"/>
    </xf>
    <xf numFmtId="165" fontId="134" fillId="4" borderId="0" xfId="2" applyNumberFormat="1" applyFont="1" applyFill="1" applyAlignment="1">
      <alignment horizontal="right"/>
    </xf>
    <xf numFmtId="169" fontId="2" fillId="0" borderId="31" xfId="0" applyNumberFormat="1" applyFont="1" applyBorder="1" applyAlignment="1">
      <alignment vertical="center"/>
    </xf>
    <xf numFmtId="167" fontId="151" fillId="0" borderId="2" xfId="2" applyNumberFormat="1" applyFont="1" applyFill="1" applyBorder="1" applyAlignment="1">
      <alignment horizontal="right"/>
    </xf>
    <xf numFmtId="165" fontId="133" fillId="4" borderId="4" xfId="0" applyNumberFormat="1" applyFont="1" applyFill="1" applyBorder="1" applyAlignment="1">
      <alignment horizontal="right"/>
    </xf>
    <xf numFmtId="167" fontId="88" fillId="6" borderId="0" xfId="2" applyNumberFormat="1" applyFont="1" applyFill="1" applyAlignment="1">
      <alignment horizontal="right"/>
    </xf>
    <xf numFmtId="169" fontId="133" fillId="15" borderId="0" xfId="0" applyNumberFormat="1" applyFont="1" applyFill="1"/>
    <xf numFmtId="169" fontId="166" fillId="0" borderId="2" xfId="0" applyNumberFormat="1" applyFont="1" applyBorder="1"/>
    <xf numFmtId="169" fontId="134" fillId="0" borderId="22" xfId="0" applyNumberFormat="1" applyFont="1" applyBorder="1"/>
    <xf numFmtId="166" fontId="3" fillId="8" borderId="0" xfId="2" applyNumberFormat="1" applyFont="1" applyFill="1"/>
    <xf numFmtId="167" fontId="2" fillId="8" borderId="4" xfId="2" applyNumberFormat="1" applyFont="1" applyFill="1" applyBorder="1" applyAlignment="1">
      <alignment horizontal="right" vertical="center"/>
    </xf>
    <xf numFmtId="166" fontId="3" fillId="8" borderId="2" xfId="2" applyNumberFormat="1" applyFont="1" applyFill="1" applyBorder="1"/>
    <xf numFmtId="167" fontId="2" fillId="8" borderId="2" xfId="2" applyNumberFormat="1" applyFont="1" applyFill="1" applyBorder="1" applyAlignment="1">
      <alignment horizontal="right" vertical="center"/>
    </xf>
    <xf numFmtId="169" fontId="32" fillId="8" borderId="0" xfId="0" quotePrefix="1" applyNumberFormat="1" applyFont="1" applyFill="1"/>
    <xf numFmtId="169" fontId="119" fillId="8" borderId="0" xfId="0" quotePrefix="1" applyNumberFormat="1" applyFont="1" applyFill="1"/>
    <xf numFmtId="167" fontId="119" fillId="8" borderId="0" xfId="2" applyNumberFormat="1" applyFont="1" applyFill="1" applyAlignment="1">
      <alignment horizontal="right"/>
    </xf>
    <xf numFmtId="169" fontId="119" fillId="8" borderId="0" xfId="0" applyNumberFormat="1" applyFont="1" applyFill="1"/>
    <xf numFmtId="167" fontId="118" fillId="8" borderId="0" xfId="2" applyNumberFormat="1" applyFont="1" applyFill="1" applyBorder="1" applyAlignment="1">
      <alignment horizontal="right"/>
    </xf>
    <xf numFmtId="169" fontId="3" fillId="8" borderId="0" xfId="0" quotePrefix="1" applyNumberFormat="1" applyFont="1" applyFill="1"/>
    <xf numFmtId="167" fontId="119" fillId="8" borderId="0" xfId="2" applyNumberFormat="1" applyFont="1" applyFill="1" applyBorder="1" applyAlignment="1">
      <alignment horizontal="right"/>
    </xf>
    <xf numFmtId="169" fontId="32" fillId="8" borderId="49" xfId="0" quotePrefix="1" applyNumberFormat="1" applyFont="1" applyFill="1" applyBorder="1"/>
    <xf numFmtId="167" fontId="118" fillId="8" borderId="49" xfId="2" applyNumberFormat="1" applyFont="1" applyFill="1" applyBorder="1" applyAlignment="1">
      <alignment horizontal="right"/>
    </xf>
    <xf numFmtId="168" fontId="32" fillId="8" borderId="0" xfId="1" applyNumberFormat="1" applyFont="1" applyFill="1"/>
    <xf numFmtId="167" fontId="154" fillId="8" borderId="0" xfId="2" applyNumberFormat="1" applyFont="1" applyFill="1"/>
    <xf numFmtId="169" fontId="24" fillId="8" borderId="0" xfId="0" applyNumberFormat="1" applyFont="1" applyFill="1"/>
    <xf numFmtId="167" fontId="24" fillId="8" borderId="0" xfId="2" applyNumberFormat="1" applyFont="1" applyFill="1"/>
    <xf numFmtId="167" fontId="151" fillId="8" borderId="0" xfId="2" applyNumberFormat="1" applyFont="1" applyFill="1"/>
    <xf numFmtId="167" fontId="46" fillId="8" borderId="0" xfId="2" applyNumberFormat="1" applyFont="1" applyFill="1" applyBorder="1" applyAlignment="1">
      <alignment horizontal="right"/>
    </xf>
    <xf numFmtId="169" fontId="88" fillId="8" borderId="0" xfId="0" applyNumberFormat="1" applyFont="1" applyFill="1"/>
    <xf numFmtId="169" fontId="88" fillId="8" borderId="2" xfId="0" applyNumberFormat="1" applyFont="1" applyFill="1" applyBorder="1"/>
    <xf numFmtId="167" fontId="2" fillId="8" borderId="22" xfId="2" applyNumberFormat="1" applyFont="1" applyFill="1" applyBorder="1" applyAlignment="1">
      <alignment horizontal="right" vertical="center"/>
    </xf>
    <xf numFmtId="169" fontId="118" fillId="8" borderId="0" xfId="0" applyNumberFormat="1" applyFont="1" applyFill="1"/>
    <xf numFmtId="167" fontId="118" fillId="8" borderId="0" xfId="2" applyNumberFormat="1" applyFont="1" applyFill="1" applyAlignment="1">
      <alignment horizontal="right"/>
    </xf>
    <xf numFmtId="169" fontId="88" fillId="6" borderId="0" xfId="0" quotePrefix="1" applyNumberFormat="1" applyFont="1" applyFill="1"/>
    <xf numFmtId="169" fontId="88" fillId="6" borderId="2" xfId="0" quotePrefix="1" applyNumberFormat="1" applyFont="1" applyFill="1" applyBorder="1"/>
    <xf numFmtId="167" fontId="88" fillId="6" borderId="2" xfId="2" applyNumberFormat="1" applyFont="1" applyFill="1" applyBorder="1" applyAlignment="1">
      <alignment horizontal="right"/>
    </xf>
    <xf numFmtId="167" fontId="58" fillId="8" borderId="0" xfId="2" applyNumberFormat="1" applyFont="1" applyFill="1" applyAlignment="1">
      <alignment horizontal="right"/>
    </xf>
    <xf numFmtId="167" fontId="119" fillId="8" borderId="2" xfId="2" applyNumberFormat="1" applyFont="1" applyFill="1" applyBorder="1" applyAlignment="1">
      <alignment horizontal="right"/>
    </xf>
    <xf numFmtId="167" fontId="32" fillId="8" borderId="0" xfId="2" applyNumberFormat="1" applyFont="1" applyFill="1" applyBorder="1" applyAlignment="1">
      <alignment horizontal="right"/>
    </xf>
    <xf numFmtId="169" fontId="32" fillId="8" borderId="49" xfId="0" applyNumberFormat="1" applyFont="1" applyFill="1" applyBorder="1"/>
    <xf numFmtId="166" fontId="3" fillId="8" borderId="0" xfId="2" applyNumberFormat="1" applyFont="1" applyFill="1" applyAlignment="1">
      <alignment horizontal="right"/>
    </xf>
    <xf numFmtId="166" fontId="88" fillId="8" borderId="0" xfId="2" applyNumberFormat="1" applyFont="1" applyFill="1" applyAlignment="1">
      <alignment horizontal="right"/>
    </xf>
    <xf numFmtId="166" fontId="88" fillId="8" borderId="2" xfId="2" applyNumberFormat="1" applyFont="1" applyFill="1" applyBorder="1" applyAlignment="1">
      <alignment horizontal="right"/>
    </xf>
    <xf numFmtId="166" fontId="155" fillId="8" borderId="0" xfId="2" applyNumberFormat="1" applyFont="1" applyFill="1" applyAlignment="1">
      <alignment horizontal="right"/>
    </xf>
    <xf numFmtId="4" fontId="133" fillId="0" borderId="0" xfId="0" applyNumberFormat="1" applyFont="1" applyAlignment="1">
      <alignment horizontal="left" vertical="top" wrapText="1"/>
    </xf>
    <xf numFmtId="167" fontId="51" fillId="8" borderId="0" xfId="2" applyNumberFormat="1" applyFont="1" applyFill="1"/>
    <xf numFmtId="169" fontId="53" fillId="8" borderId="49" xfId="0" applyNumberFormat="1" applyFont="1" applyFill="1" applyBorder="1"/>
    <xf numFmtId="167" fontId="53" fillId="8" borderId="49" xfId="2" applyNumberFormat="1" applyFont="1" applyFill="1" applyBorder="1" applyAlignment="1">
      <alignment horizontal="right"/>
    </xf>
    <xf numFmtId="43" fontId="53" fillId="8" borderId="49" xfId="2" applyFont="1" applyFill="1" applyBorder="1" applyAlignment="1">
      <alignment horizontal="right"/>
    </xf>
    <xf numFmtId="169" fontId="2" fillId="3" borderId="0" xfId="2" applyNumberFormat="1" applyFont="1" applyFill="1" applyAlignment="1">
      <alignment horizontal="left"/>
    </xf>
    <xf numFmtId="165" fontId="2" fillId="3" borderId="0" xfId="2" applyNumberFormat="1" applyFont="1" applyFill="1" applyAlignment="1">
      <alignment horizontal="right"/>
    </xf>
    <xf numFmtId="169" fontId="31" fillId="0" borderId="0" xfId="0" applyNumberFormat="1" applyFont="1" applyAlignment="1">
      <alignment horizontal="right"/>
    </xf>
    <xf numFmtId="169" fontId="160" fillId="0" borderId="0" xfId="0" applyNumberFormat="1" applyFont="1"/>
    <xf numFmtId="169" fontId="158" fillId="0" borderId="0" xfId="0" applyNumberFormat="1" applyFont="1"/>
    <xf numFmtId="169" fontId="82" fillId="0" borderId="0" xfId="0" applyNumberFormat="1" applyFont="1"/>
    <xf numFmtId="169" fontId="28" fillId="0" borderId="0" xfId="0" applyNumberFormat="1" applyFont="1" applyAlignment="1">
      <alignment horizontal="right"/>
    </xf>
    <xf numFmtId="169" fontId="155" fillId="0" borderId="0" xfId="0" applyNumberFormat="1" applyFont="1" applyAlignment="1">
      <alignment horizontal="right"/>
    </xf>
    <xf numFmtId="169" fontId="1" fillId="3" borderId="0" xfId="2" applyNumberFormat="1" applyFont="1" applyFill="1" applyAlignment="1">
      <alignment horizontal="left"/>
    </xf>
    <xf numFmtId="169" fontId="3" fillId="8" borderId="0" xfId="0" applyNumberFormat="1" applyFont="1" applyFill="1" applyAlignment="1">
      <alignment horizontal="left"/>
    </xf>
    <xf numFmtId="171" fontId="3" fillId="8" borderId="0" xfId="0" applyNumberFormat="1" applyFont="1" applyFill="1"/>
    <xf numFmtId="169" fontId="3" fillId="8" borderId="2" xfId="0" applyNumberFormat="1" applyFont="1" applyFill="1" applyBorder="1" applyAlignment="1">
      <alignment horizontal="left"/>
    </xf>
    <xf numFmtId="171" fontId="3" fillId="8" borderId="2" xfId="0" applyNumberFormat="1" applyFont="1" applyFill="1" applyBorder="1"/>
    <xf numFmtId="169" fontId="155" fillId="8" borderId="0" xfId="0" applyNumberFormat="1" applyFont="1" applyFill="1" applyAlignment="1">
      <alignment horizontal="left"/>
    </xf>
    <xf numFmtId="169" fontId="155" fillId="8" borderId="0" xfId="0" applyNumberFormat="1" applyFont="1" applyFill="1"/>
    <xf numFmtId="171" fontId="155" fillId="8" borderId="0" xfId="0" applyNumberFormat="1" applyFont="1" applyFill="1"/>
    <xf numFmtId="167" fontId="132" fillId="3" borderId="0" xfId="2" applyNumberFormat="1" applyFont="1" applyFill="1" applyAlignment="1">
      <alignment horizontal="right"/>
    </xf>
    <xf numFmtId="167" fontId="131" fillId="3" borderId="0" xfId="2" applyNumberFormat="1" applyFont="1" applyFill="1" applyAlignment="1">
      <alignment horizontal="right"/>
    </xf>
    <xf numFmtId="167" fontId="151" fillId="3" borderId="2" xfId="2" applyNumberFormat="1" applyFont="1" applyFill="1" applyBorder="1" applyAlignment="1">
      <alignment horizontal="right"/>
    </xf>
    <xf numFmtId="164" fontId="2" fillId="0" borderId="0" xfId="2" applyNumberFormat="1" applyFont="1" applyAlignment="1">
      <alignment horizontal="right" vertical="top"/>
    </xf>
    <xf numFmtId="164" fontId="2" fillId="4" borderId="0" xfId="2" applyNumberFormat="1" applyFont="1" applyFill="1" applyAlignment="1">
      <alignment horizontal="right" vertical="top"/>
    </xf>
    <xf numFmtId="164" fontId="2" fillId="3" borderId="0" xfId="2" applyNumberFormat="1" applyFont="1" applyFill="1" applyAlignment="1">
      <alignment horizontal="right" vertical="top"/>
    </xf>
    <xf numFmtId="4" fontId="1" fillId="2" borderId="2" xfId="0" applyNumberFormat="1" applyFont="1" applyFill="1" applyBorder="1" applyAlignment="1">
      <alignment horizontal="right"/>
    </xf>
    <xf numFmtId="4" fontId="2" fillId="0" borderId="5" xfId="0" applyNumberFormat="1" applyFont="1" applyBorder="1" applyAlignment="1">
      <alignment horizontal="right" vertical="top"/>
    </xf>
    <xf numFmtId="1" fontId="2" fillId="0" borderId="5" xfId="0" applyNumberFormat="1" applyFont="1" applyBorder="1" applyAlignment="1">
      <alignment horizontal="right" vertical="top"/>
    </xf>
    <xf numFmtId="4" fontId="167" fillId="0" borderId="37" xfId="0" applyNumberFormat="1" applyFont="1" applyBorder="1" applyAlignment="1">
      <alignment horizontal="left" vertical="top" wrapText="1"/>
    </xf>
    <xf numFmtId="164" fontId="161" fillId="20" borderId="29" xfId="2" applyNumberFormat="1" applyFont="1" applyFill="1" applyBorder="1" applyAlignment="1">
      <alignment horizontal="center" vertical="center"/>
    </xf>
    <xf numFmtId="164" fontId="161" fillId="0" borderId="29" xfId="2" applyNumberFormat="1" applyFont="1" applyBorder="1" applyAlignment="1">
      <alignment horizontal="center" vertical="center"/>
    </xf>
    <xf numFmtId="167" fontId="161" fillId="20" borderId="29" xfId="2" applyNumberFormat="1" applyFont="1" applyFill="1" applyBorder="1" applyAlignment="1">
      <alignment horizontal="center" vertical="center"/>
    </xf>
    <xf numFmtId="167" fontId="161" fillId="0" borderId="29" xfId="2" applyNumberFormat="1" applyFont="1" applyBorder="1" applyAlignment="1">
      <alignment horizontal="center" vertical="center"/>
    </xf>
    <xf numFmtId="168" fontId="161" fillId="20" borderId="29" xfId="1" applyNumberFormat="1" applyFont="1" applyFill="1" applyBorder="1" applyAlignment="1">
      <alignment horizontal="center" vertical="center"/>
    </xf>
    <xf numFmtId="168" fontId="161" fillId="0" borderId="29" xfId="1" applyNumberFormat="1" applyFont="1" applyBorder="1" applyAlignment="1">
      <alignment horizontal="center" vertical="center"/>
    </xf>
    <xf numFmtId="169" fontId="161" fillId="8" borderId="0" xfId="0" applyNumberFormat="1" applyFont="1" applyFill="1"/>
    <xf numFmtId="167" fontId="137" fillId="6" borderId="0" xfId="2" applyNumberFormat="1" applyFont="1" applyFill="1" applyAlignment="1">
      <alignment horizontal="centerContinuous" vertical="top" wrapText="1"/>
    </xf>
    <xf numFmtId="167" fontId="161" fillId="0" borderId="0" xfId="2" applyNumberFormat="1" applyFont="1" applyAlignment="1">
      <alignment vertical="top"/>
    </xf>
    <xf numFmtId="167" fontId="137" fillId="6" borderId="0" xfId="2" applyNumberFormat="1" applyFont="1" applyFill="1" applyAlignment="1">
      <alignment horizontal="centerContinuous" vertical="top"/>
    </xf>
    <xf numFmtId="172" fontId="137" fillId="6" borderId="0" xfId="2" applyNumberFormat="1" applyFont="1" applyFill="1" applyAlignment="1">
      <alignment horizontal="centerContinuous" vertical="top"/>
    </xf>
    <xf numFmtId="169" fontId="161" fillId="0" borderId="0" xfId="0" applyNumberFormat="1" applyFont="1"/>
    <xf numFmtId="169" fontId="167" fillId="11" borderId="0" xfId="0" applyNumberFormat="1" applyFont="1" applyFill="1" applyAlignment="1">
      <alignment horizontal="left" vertical="top"/>
    </xf>
    <xf numFmtId="167" fontId="168" fillId="8" borderId="0" xfId="2" applyNumberFormat="1" applyFont="1" applyFill="1" applyAlignment="1">
      <alignment vertical="top"/>
    </xf>
    <xf numFmtId="167" fontId="167" fillId="8" borderId="0" xfId="2" applyNumberFormat="1" applyFont="1" applyFill="1" applyAlignment="1">
      <alignment horizontal="left" vertical="top"/>
    </xf>
    <xf numFmtId="169" fontId="167" fillId="8" borderId="0" xfId="0" applyNumberFormat="1" applyFont="1" applyFill="1" applyAlignment="1">
      <alignment horizontal="left" vertical="top"/>
    </xf>
    <xf numFmtId="167" fontId="169" fillId="9" borderId="0" xfId="2" applyNumberFormat="1" applyFont="1" applyFill="1" applyAlignment="1">
      <alignment vertical="top"/>
    </xf>
    <xf numFmtId="169" fontId="161" fillId="8" borderId="0" xfId="0" applyNumberFormat="1" applyFont="1" applyFill="1" applyAlignment="1">
      <alignment vertical="top"/>
    </xf>
    <xf numFmtId="169" fontId="161" fillId="12" borderId="0" xfId="0" applyNumberFormat="1" applyFont="1" applyFill="1" applyAlignment="1">
      <alignment vertical="top"/>
    </xf>
    <xf numFmtId="169" fontId="167" fillId="8" borderId="0" xfId="0" applyNumberFormat="1" applyFont="1" applyFill="1" applyAlignment="1">
      <alignment horizontal="right" vertical="top"/>
    </xf>
    <xf numFmtId="167" fontId="170" fillId="8" borderId="0" xfId="2" applyNumberFormat="1" applyFont="1" applyFill="1" applyAlignment="1">
      <alignment horizontal="right" vertical="top"/>
    </xf>
    <xf numFmtId="169" fontId="170" fillId="0" borderId="0" xfId="0" applyNumberFormat="1" applyFont="1" applyAlignment="1">
      <alignment horizontal="right" vertical="top"/>
    </xf>
    <xf numFmtId="168" fontId="170" fillId="0" borderId="0" xfId="1" applyNumberFormat="1" applyFont="1" applyAlignment="1">
      <alignment horizontal="right" vertical="top"/>
    </xf>
    <xf numFmtId="168" fontId="170" fillId="6" borderId="0" xfId="1" applyNumberFormat="1" applyFont="1" applyFill="1" applyAlignment="1">
      <alignment horizontal="right" vertical="top"/>
    </xf>
    <xf numFmtId="169" fontId="161" fillId="0" borderId="0" xfId="0" applyNumberFormat="1" applyFont="1" applyAlignment="1">
      <alignment horizontal="right"/>
    </xf>
    <xf numFmtId="169" fontId="171" fillId="18" borderId="0" xfId="0" applyNumberFormat="1" applyFont="1" applyFill="1" applyAlignment="1">
      <alignment horizontal="left" vertical="top"/>
    </xf>
    <xf numFmtId="167" fontId="172" fillId="18" borderId="0" xfId="2" applyNumberFormat="1" applyFont="1" applyFill="1" applyAlignment="1">
      <alignment horizontal="right" vertical="top"/>
    </xf>
    <xf numFmtId="167" fontId="172" fillId="17" borderId="0" xfId="2" applyNumberFormat="1" applyFont="1" applyFill="1" applyAlignment="1">
      <alignment horizontal="right" vertical="top"/>
    </xf>
    <xf numFmtId="168" fontId="161" fillId="0" borderId="0" xfId="1" applyNumberFormat="1" applyFont="1"/>
    <xf numFmtId="169" fontId="133" fillId="0" borderId="0" xfId="0" applyNumberFormat="1" applyFont="1" applyAlignment="1">
      <alignment vertical="top"/>
    </xf>
    <xf numFmtId="167" fontId="161" fillId="0" borderId="0" xfId="2" applyNumberFormat="1" applyFont="1" applyAlignment="1">
      <alignment horizontal="center"/>
    </xf>
    <xf numFmtId="169" fontId="175" fillId="0" borderId="0" xfId="0" applyNumberFormat="1" applyFont="1" applyAlignment="1">
      <alignment horizontal="left" vertical="center"/>
    </xf>
    <xf numFmtId="0" fontId="133" fillId="0" borderId="0" xfId="0" applyFont="1" applyAlignment="1">
      <alignment vertical="top"/>
    </xf>
    <xf numFmtId="166" fontId="169" fillId="18" borderId="0" xfId="2" applyNumberFormat="1" applyFont="1" applyFill="1" applyAlignment="1">
      <alignment horizontal="right"/>
    </xf>
    <xf numFmtId="169" fontId="161" fillId="5" borderId="0" xfId="0" applyNumberFormat="1" applyFont="1" applyFill="1"/>
    <xf numFmtId="164" fontId="167" fillId="3" borderId="37" xfId="2" applyNumberFormat="1" applyFont="1" applyFill="1" applyBorder="1" applyAlignment="1">
      <alignment horizontal="right" vertical="top"/>
    </xf>
    <xf numFmtId="164" fontId="167" fillId="4" borderId="37" xfId="2" applyNumberFormat="1" applyFont="1" applyFill="1" applyBorder="1" applyAlignment="1">
      <alignment horizontal="right" vertical="top"/>
    </xf>
    <xf numFmtId="164" fontId="133" fillId="5" borderId="26" xfId="2" applyNumberFormat="1" applyFont="1" applyFill="1" applyBorder="1" applyAlignment="1">
      <alignment horizontal="right" vertical="top"/>
    </xf>
    <xf numFmtId="4" fontId="133" fillId="0" borderId="26" xfId="0" applyNumberFormat="1" applyFont="1" applyBorder="1" applyAlignment="1">
      <alignment horizontal="left" vertical="top"/>
    </xf>
    <xf numFmtId="164" fontId="133" fillId="3" borderId="26" xfId="2" applyNumberFormat="1" applyFont="1" applyFill="1" applyBorder="1" applyAlignment="1">
      <alignment horizontal="right" vertical="top"/>
    </xf>
    <xf numFmtId="164" fontId="133" fillId="8" borderId="26" xfId="2" applyNumberFormat="1" applyFont="1" applyFill="1" applyBorder="1" applyAlignment="1">
      <alignment horizontal="right" vertical="top"/>
    </xf>
    <xf numFmtId="169" fontId="133" fillId="3" borderId="61" xfId="0" applyNumberFormat="1" applyFont="1" applyFill="1" applyBorder="1" applyAlignment="1">
      <alignment horizontal="left" vertical="center"/>
    </xf>
    <xf numFmtId="167" fontId="174" fillId="8" borderId="2" xfId="2" applyNumberFormat="1" applyFont="1" applyFill="1" applyBorder="1" applyAlignment="1">
      <alignment horizontal="right" vertical="center"/>
    </xf>
    <xf numFmtId="169" fontId="133" fillId="3" borderId="48" xfId="0" applyNumberFormat="1" applyFont="1" applyFill="1" applyBorder="1" applyAlignment="1">
      <alignment horizontal="left" vertical="center"/>
    </xf>
    <xf numFmtId="169" fontId="173" fillId="3" borderId="29" xfId="0" applyNumberFormat="1" applyFont="1" applyFill="1" applyBorder="1" applyAlignment="1">
      <alignment horizontal="left" vertical="center"/>
    </xf>
    <xf numFmtId="169" fontId="173" fillId="0" borderId="29" xfId="0" applyNumberFormat="1" applyFont="1" applyBorder="1" applyAlignment="1">
      <alignment horizontal="left" vertical="center"/>
    </xf>
    <xf numFmtId="169" fontId="176" fillId="7" borderId="12" xfId="0" applyNumberFormat="1" applyFont="1" applyFill="1" applyBorder="1" applyAlignment="1">
      <alignment horizontal="center" vertical="center"/>
    </xf>
    <xf numFmtId="169" fontId="176" fillId="7" borderId="24" xfId="0" applyNumberFormat="1" applyFont="1" applyFill="1" applyBorder="1" applyAlignment="1">
      <alignment horizontal="centerContinuous" vertical="center"/>
    </xf>
    <xf numFmtId="169" fontId="176" fillId="7" borderId="23" xfId="0" applyNumberFormat="1" applyFont="1" applyFill="1" applyBorder="1" applyAlignment="1">
      <alignment horizontal="centerContinuous" vertical="center"/>
    </xf>
    <xf numFmtId="169" fontId="176" fillId="7" borderId="17" xfId="0" applyNumberFormat="1" applyFont="1" applyFill="1" applyBorder="1" applyAlignment="1">
      <alignment horizontal="left" vertical="center"/>
    </xf>
    <xf numFmtId="168" fontId="161" fillId="0" borderId="29" xfId="1" applyNumberFormat="1" applyFont="1" applyBorder="1" applyAlignment="1">
      <alignment horizontal="right" vertical="center"/>
    </xf>
    <xf numFmtId="168" fontId="161" fillId="20" borderId="29" xfId="1" applyNumberFormat="1" applyFont="1" applyFill="1" applyBorder="1" applyAlignment="1">
      <alignment horizontal="right" vertical="center"/>
    </xf>
    <xf numFmtId="169" fontId="161" fillId="0" borderId="18" xfId="0" applyNumberFormat="1" applyFont="1" applyBorder="1" applyAlignment="1">
      <alignment vertical="center"/>
    </xf>
    <xf numFmtId="164" fontId="133" fillId="0" borderId="26" xfId="2" applyNumberFormat="1" applyFont="1" applyBorder="1" applyAlignment="1">
      <alignment horizontal="right" vertical="top"/>
    </xf>
    <xf numFmtId="164" fontId="133" fillId="4" borderId="26" xfId="2" applyNumberFormat="1" applyFont="1" applyFill="1" applyBorder="1" applyAlignment="1">
      <alignment horizontal="right" vertical="top"/>
    </xf>
    <xf numFmtId="4" fontId="133" fillId="0" borderId="26" xfId="0" applyNumberFormat="1" applyFont="1" applyBorder="1" applyAlignment="1">
      <alignment horizontal="left" vertical="top" wrapText="1"/>
    </xf>
    <xf numFmtId="164" fontId="133" fillId="0" borderId="37" xfId="2" applyNumberFormat="1" applyFont="1" applyBorder="1" applyAlignment="1">
      <alignment horizontal="right" vertical="top"/>
    </xf>
    <xf numFmtId="165" fontId="133" fillId="0" borderId="21" xfId="2" applyNumberFormat="1" applyFont="1" applyBorder="1" applyAlignment="1">
      <alignment horizontal="right" vertical="center"/>
    </xf>
    <xf numFmtId="165" fontId="133" fillId="0" borderId="62" xfId="2" applyNumberFormat="1" applyFont="1" applyBorder="1" applyAlignment="1">
      <alignment horizontal="right" vertical="center"/>
    </xf>
    <xf numFmtId="0" fontId="177" fillId="0" borderId="0" xfId="5"/>
    <xf numFmtId="0" fontId="120" fillId="16" borderId="0" xfId="5" applyFont="1" applyFill="1"/>
    <xf numFmtId="0" fontId="120" fillId="16" borderId="0" xfId="5" applyFont="1" applyFill="1" applyAlignment="1">
      <alignment horizontal="right"/>
    </xf>
    <xf numFmtId="0" fontId="93" fillId="16" borderId="0" xfId="5" applyFont="1" applyFill="1"/>
    <xf numFmtId="0" fontId="178" fillId="16" borderId="0" xfId="5" applyFont="1" applyFill="1" applyAlignment="1">
      <alignment horizontal="right"/>
    </xf>
    <xf numFmtId="0" fontId="178" fillId="16" borderId="2" xfId="5" applyFont="1" applyFill="1" applyBorder="1" applyAlignment="1">
      <alignment horizontal="right"/>
    </xf>
    <xf numFmtId="0" fontId="45" fillId="0" borderId="0" xfId="5" applyFont="1"/>
    <xf numFmtId="0" fontId="178" fillId="0" borderId="0" xfId="5" applyFont="1" applyAlignment="1">
      <alignment horizontal="right"/>
    </xf>
    <xf numFmtId="0" fontId="179" fillId="0" borderId="0" xfId="5" applyFont="1"/>
    <xf numFmtId="164" fontId="178" fillId="0" borderId="0" xfId="5" applyNumberFormat="1" applyFont="1" applyAlignment="1">
      <alignment horizontal="right"/>
    </xf>
    <xf numFmtId="0" fontId="179" fillId="0" borderId="7" xfId="5" applyFont="1" applyBorder="1"/>
    <xf numFmtId="164" fontId="178" fillId="0" borderId="7" xfId="5" applyNumberFormat="1" applyFont="1" applyBorder="1" applyAlignment="1">
      <alignment horizontal="right"/>
    </xf>
    <xf numFmtId="0" fontId="179" fillId="0" borderId="2" xfId="5" applyFont="1" applyBorder="1"/>
    <xf numFmtId="164" fontId="178" fillId="0" borderId="2" xfId="5" applyNumberFormat="1" applyFont="1" applyBorder="1" applyAlignment="1">
      <alignment horizontal="right"/>
    </xf>
    <xf numFmtId="164" fontId="178" fillId="0" borderId="0" xfId="5" applyNumberFormat="1" applyFont="1"/>
    <xf numFmtId="164" fontId="178" fillId="0" borderId="7" xfId="5" applyNumberFormat="1" applyFont="1" applyBorder="1"/>
    <xf numFmtId="0" fontId="178" fillId="0" borderId="0" xfId="5" applyFont="1"/>
    <xf numFmtId="164" fontId="178" fillId="0" borderId="2" xfId="5" applyNumberFormat="1" applyFont="1" applyBorder="1"/>
    <xf numFmtId="165" fontId="178" fillId="0" borderId="2" xfId="5" applyNumberFormat="1" applyFont="1" applyBorder="1"/>
    <xf numFmtId="165" fontId="178" fillId="0" borderId="0" xfId="5" applyNumberFormat="1" applyFont="1"/>
    <xf numFmtId="0" fontId="178" fillId="0" borderId="7" xfId="5" applyFont="1" applyBorder="1"/>
    <xf numFmtId="165" fontId="178" fillId="0" borderId="7" xfId="5" applyNumberFormat="1" applyFont="1" applyBorder="1"/>
    <xf numFmtId="2" fontId="178" fillId="0" borderId="0" xfId="5" applyNumberFormat="1" applyFont="1"/>
    <xf numFmtId="3" fontId="178" fillId="0" borderId="2" xfId="5" applyNumberFormat="1" applyFont="1" applyBorder="1"/>
    <xf numFmtId="3" fontId="178" fillId="0" borderId="0" xfId="5" applyNumberFormat="1" applyFont="1"/>
    <xf numFmtId="1" fontId="178" fillId="0" borderId="0" xfId="5" applyNumberFormat="1" applyFont="1"/>
    <xf numFmtId="4" fontId="45" fillId="0" borderId="0" xfId="5" applyNumberFormat="1" applyFont="1"/>
    <xf numFmtId="4" fontId="178" fillId="0" borderId="0" xfId="5" applyNumberFormat="1" applyFont="1"/>
    <xf numFmtId="4" fontId="178" fillId="0" borderId="2" xfId="5" applyNumberFormat="1" applyFont="1" applyBorder="1"/>
    <xf numFmtId="43" fontId="56" fillId="18" borderId="0" xfId="2" applyFont="1" applyFill="1"/>
    <xf numFmtId="169" fontId="32" fillId="6" borderId="13" xfId="0" applyNumberFormat="1" applyFont="1" applyFill="1" applyBorder="1" applyAlignment="1">
      <alignment horizontal="left" vertical="center"/>
    </xf>
    <xf numFmtId="169" fontId="148" fillId="6" borderId="15" xfId="0" applyNumberFormat="1" applyFont="1" applyFill="1" applyBorder="1" applyAlignment="1">
      <alignment vertical="center"/>
    </xf>
    <xf numFmtId="43" fontId="118" fillId="8" borderId="0" xfId="2" applyFont="1" applyFill="1" applyAlignment="1">
      <alignment horizontal="right"/>
    </xf>
    <xf numFmtId="166" fontId="51" fillId="8" borderId="0" xfId="2" applyNumberFormat="1" applyFont="1" applyFill="1"/>
    <xf numFmtId="166" fontId="24" fillId="8" borderId="0" xfId="2" applyNumberFormat="1" applyFont="1" applyFill="1"/>
    <xf numFmtId="166" fontId="51" fillId="8" borderId="2" xfId="2" applyNumberFormat="1" applyFont="1" applyFill="1" applyBorder="1"/>
    <xf numFmtId="166" fontId="56" fillId="18" borderId="0" xfId="2" applyNumberFormat="1" applyFont="1" applyFill="1"/>
    <xf numFmtId="166" fontId="32" fillId="8" borderId="0" xfId="2" applyNumberFormat="1" applyFont="1" applyFill="1"/>
    <xf numFmtId="2" fontId="2" fillId="20" borderId="4" xfId="2" applyNumberFormat="1" applyFont="1" applyFill="1" applyBorder="1" applyAlignment="1">
      <alignment horizontal="right" vertical="center"/>
    </xf>
    <xf numFmtId="2" fontId="2" fillId="0" borderId="4" xfId="2" applyNumberFormat="1" applyFont="1" applyBorder="1" applyAlignment="1">
      <alignment horizontal="right" vertical="center"/>
    </xf>
    <xf numFmtId="2" fontId="2" fillId="0" borderId="4" xfId="2" applyNumberFormat="1" applyFont="1" applyFill="1" applyBorder="1" applyAlignment="1">
      <alignment horizontal="right" vertical="center"/>
    </xf>
    <xf numFmtId="2" fontId="2" fillId="0" borderId="42" xfId="2" applyNumberFormat="1" applyFont="1" applyFill="1" applyBorder="1" applyAlignment="1">
      <alignment horizontal="right" vertical="center"/>
    </xf>
    <xf numFmtId="43" fontId="32" fillId="8" borderId="49" xfId="2" applyFont="1" applyFill="1" applyBorder="1" applyAlignment="1">
      <alignment horizontal="right"/>
    </xf>
    <xf numFmtId="169" fontId="148" fillId="5" borderId="15" xfId="0" applyNumberFormat="1" applyFont="1" applyFill="1" applyBorder="1" applyAlignment="1">
      <alignment vertical="center"/>
    </xf>
    <xf numFmtId="0" fontId="34" fillId="0" borderId="0" xfId="5" applyFont="1" applyAlignment="1">
      <alignment vertical="top"/>
    </xf>
    <xf numFmtId="0" fontId="180" fillId="0" borderId="0" xfId="5" applyFont="1"/>
    <xf numFmtId="0" fontId="38" fillId="0" borderId="0" xfId="5" applyFont="1"/>
    <xf numFmtId="0" fontId="181" fillId="10" borderId="0" xfId="5" applyFont="1" applyFill="1"/>
    <xf numFmtId="0" fontId="181" fillId="10" borderId="0" xfId="5" applyFont="1" applyFill="1" applyAlignment="1">
      <alignment horizontal="right"/>
    </xf>
    <xf numFmtId="0" fontId="181" fillId="10" borderId="2" xfId="5" applyFont="1" applyFill="1" applyBorder="1"/>
    <xf numFmtId="0" fontId="181" fillId="10" borderId="2" xfId="5" applyFont="1" applyFill="1" applyBorder="1" applyAlignment="1">
      <alignment horizontal="right"/>
    </xf>
    <xf numFmtId="0" fontId="39" fillId="0" borderId="0" xfId="5" applyFont="1"/>
    <xf numFmtId="0" fontId="39" fillId="0" borderId="7" xfId="5" applyFont="1" applyBorder="1"/>
    <xf numFmtId="0" fontId="38" fillId="0" borderId="2" xfId="5" applyFont="1" applyBorder="1"/>
    <xf numFmtId="4" fontId="39" fillId="0" borderId="0" xfId="5" applyNumberFormat="1" applyFont="1"/>
    <xf numFmtId="0" fontId="49" fillId="0" borderId="0" xfId="5" applyFont="1"/>
    <xf numFmtId="167" fontId="118" fillId="6" borderId="0" xfId="2" applyNumberFormat="1" applyFont="1" applyFill="1" applyBorder="1" applyAlignment="1">
      <alignment horizontal="right"/>
    </xf>
    <xf numFmtId="167" fontId="119" fillId="6" borderId="0" xfId="2" applyNumberFormat="1" applyFont="1" applyFill="1" applyBorder="1" applyAlignment="1">
      <alignment horizontal="right"/>
    </xf>
    <xf numFmtId="167" fontId="118" fillId="6" borderId="49" xfId="2" applyNumberFormat="1" applyFont="1" applyFill="1" applyBorder="1" applyAlignment="1">
      <alignment horizontal="right"/>
    </xf>
    <xf numFmtId="168" fontId="3" fillId="6" borderId="0" xfId="1" applyNumberFormat="1" applyFont="1" applyFill="1" applyAlignment="1">
      <alignment horizontal="right"/>
    </xf>
    <xf numFmtId="167" fontId="58" fillId="12" borderId="38" xfId="2" applyNumberFormat="1" applyFont="1" applyFill="1" applyBorder="1" applyAlignment="1">
      <alignment horizontal="right"/>
    </xf>
    <xf numFmtId="167" fontId="58" fillId="12" borderId="5" xfId="2" applyNumberFormat="1" applyFont="1" applyFill="1" applyBorder="1" applyAlignment="1">
      <alignment horizontal="right"/>
    </xf>
    <xf numFmtId="0" fontId="182" fillId="0" borderId="0" xfId="5" applyFont="1"/>
    <xf numFmtId="167" fontId="38" fillId="0" borderId="0" xfId="2" applyNumberFormat="1" applyFont="1" applyFill="1"/>
    <xf numFmtId="0" fontId="39" fillId="0" borderId="0" xfId="5" applyFont="1" applyAlignment="1">
      <alignment horizontal="right"/>
    </xf>
    <xf numFmtId="167" fontId="39" fillId="0" borderId="0" xfId="2" applyNumberFormat="1" applyFont="1" applyFill="1"/>
    <xf numFmtId="0" fontId="43" fillId="0" borderId="0" xfId="5" applyFont="1"/>
    <xf numFmtId="167" fontId="49" fillId="0" borderId="0" xfId="2" applyNumberFormat="1" applyFont="1" applyFill="1"/>
    <xf numFmtId="167" fontId="39" fillId="0" borderId="0" xfId="2" applyNumberFormat="1" applyFont="1" applyFill="1" applyAlignment="1">
      <alignment horizontal="right"/>
    </xf>
    <xf numFmtId="167" fontId="38" fillId="0" borderId="2" xfId="2" applyNumberFormat="1" applyFont="1" applyFill="1" applyBorder="1"/>
    <xf numFmtId="167" fontId="38" fillId="0" borderId="0" xfId="2" applyNumberFormat="1" applyFont="1" applyFill="1" applyAlignment="1">
      <alignment horizontal="right"/>
    </xf>
    <xf numFmtId="167" fontId="39" fillId="0" borderId="7" xfId="2" applyNumberFormat="1" applyFont="1" applyFill="1" applyBorder="1" applyAlignment="1">
      <alignment horizontal="right"/>
    </xf>
    <xf numFmtId="167" fontId="38" fillId="0" borderId="2" xfId="2" applyNumberFormat="1" applyFont="1" applyFill="1" applyBorder="1" applyAlignment="1">
      <alignment horizontal="right"/>
    </xf>
    <xf numFmtId="167" fontId="39" fillId="0" borderId="7" xfId="2" applyNumberFormat="1" applyFont="1" applyFill="1" applyBorder="1"/>
    <xf numFmtId="167" fontId="182" fillId="0" borderId="0" xfId="2" applyNumberFormat="1" applyFont="1" applyFill="1"/>
    <xf numFmtId="0" fontId="11" fillId="7" borderId="23" xfId="0" applyFont="1" applyFill="1" applyBorder="1" applyAlignment="1">
      <alignment horizontal="center" wrapText="1"/>
    </xf>
    <xf numFmtId="0" fontId="11" fillId="7" borderId="3" xfId="0" applyFont="1" applyFill="1" applyBorder="1" applyAlignment="1">
      <alignment horizontal="center" wrapText="1"/>
    </xf>
    <xf numFmtId="0" fontId="13" fillId="7" borderId="23" xfId="0" applyFont="1" applyFill="1" applyBorder="1" applyAlignment="1">
      <alignment horizontal="center" wrapText="1"/>
    </xf>
    <xf numFmtId="0" fontId="13" fillId="7" borderId="24" xfId="0" applyFont="1" applyFill="1" applyBorder="1" applyAlignment="1">
      <alignment horizontal="center" wrapText="1"/>
    </xf>
    <xf numFmtId="167" fontId="164" fillId="0" borderId="0" xfId="2" applyNumberFormat="1" applyFont="1" applyAlignment="1">
      <alignment horizontal="left" vertical="top" wrapText="1"/>
    </xf>
    <xf numFmtId="49" fontId="164" fillId="0" borderId="0" xfId="2" applyNumberFormat="1" applyFont="1" applyAlignment="1">
      <alignment horizontal="left" vertical="top" wrapText="1"/>
    </xf>
    <xf numFmtId="169" fontId="32" fillId="7" borderId="17" xfId="0" applyNumberFormat="1" applyFont="1" applyFill="1" applyBorder="1" applyAlignment="1">
      <alignment horizontal="left" vertical="center" wrapText="1"/>
    </xf>
    <xf numFmtId="169" fontId="32" fillId="7" borderId="18" xfId="0" applyNumberFormat="1" applyFont="1" applyFill="1" applyBorder="1" applyAlignment="1">
      <alignment horizontal="left" vertical="center" wrapText="1"/>
    </xf>
    <xf numFmtId="169" fontId="117" fillId="7" borderId="17" xfId="0" applyNumberFormat="1" applyFont="1" applyFill="1" applyBorder="1" applyAlignment="1">
      <alignment horizontal="left" vertical="center" wrapText="1"/>
    </xf>
    <xf numFmtId="169" fontId="117" fillId="7" borderId="18" xfId="0" applyNumberFormat="1" applyFont="1" applyFill="1" applyBorder="1" applyAlignment="1">
      <alignment horizontal="left" vertical="center" wrapText="1"/>
    </xf>
    <xf numFmtId="169" fontId="3" fillId="4" borderId="31" xfId="0" applyNumberFormat="1" applyFont="1" applyFill="1" applyBorder="1" applyAlignment="1">
      <alignment horizontal="center"/>
    </xf>
    <xf numFmtId="169" fontId="3" fillId="4" borderId="32" xfId="0" applyNumberFormat="1" applyFont="1" applyFill="1" applyBorder="1" applyAlignment="1">
      <alignment horizontal="center"/>
    </xf>
    <xf numFmtId="169" fontId="3" fillId="0" borderId="31" xfId="0" applyNumberFormat="1" applyFont="1" applyBorder="1" applyAlignment="1">
      <alignment horizontal="center"/>
    </xf>
    <xf numFmtId="169" fontId="3" fillId="0" borderId="32" xfId="0" applyNumberFormat="1" applyFont="1" applyBorder="1" applyAlignment="1">
      <alignment horizontal="center"/>
    </xf>
    <xf numFmtId="169" fontId="3" fillId="4" borderId="33" xfId="0" applyNumberFormat="1" applyFont="1" applyFill="1" applyBorder="1" applyAlignment="1">
      <alignment horizontal="center"/>
    </xf>
    <xf numFmtId="169" fontId="3" fillId="4" borderId="34" xfId="0" applyNumberFormat="1" applyFont="1" applyFill="1" applyBorder="1" applyAlignment="1">
      <alignment horizontal="center"/>
    </xf>
    <xf numFmtId="169" fontId="3" fillId="4" borderId="41" xfId="0" applyNumberFormat="1" applyFont="1" applyFill="1" applyBorder="1" applyAlignment="1">
      <alignment horizontal="center"/>
    </xf>
    <xf numFmtId="169" fontId="3" fillId="4" borderId="40" xfId="0" applyNumberFormat="1" applyFont="1" applyFill="1" applyBorder="1" applyAlignment="1">
      <alignment horizontal="center"/>
    </xf>
    <xf numFmtId="169" fontId="3" fillId="0" borderId="41" xfId="0" applyNumberFormat="1" applyFont="1" applyBorder="1" applyAlignment="1">
      <alignment horizontal="center"/>
    </xf>
    <xf numFmtId="169" fontId="3" fillId="0" borderId="40" xfId="0" applyNumberFormat="1" applyFont="1" applyBorder="1" applyAlignment="1">
      <alignment horizontal="center"/>
    </xf>
    <xf numFmtId="169" fontId="3" fillId="4" borderId="37" xfId="0" applyNumberFormat="1" applyFont="1" applyFill="1" applyBorder="1" applyAlignment="1">
      <alignment horizontal="center"/>
    </xf>
    <xf numFmtId="169" fontId="11" fillId="7" borderId="23" xfId="0" applyNumberFormat="1" applyFont="1" applyFill="1" applyBorder="1" applyAlignment="1">
      <alignment horizontal="center"/>
    </xf>
    <xf numFmtId="169" fontId="11" fillId="7" borderId="24" xfId="0" applyNumberFormat="1" applyFont="1" applyFill="1" applyBorder="1" applyAlignment="1">
      <alignment horizontal="center"/>
    </xf>
    <xf numFmtId="169" fontId="11" fillId="2" borderId="23" xfId="0" applyNumberFormat="1" applyFont="1" applyFill="1" applyBorder="1" applyAlignment="1">
      <alignment horizontal="center"/>
    </xf>
    <xf numFmtId="169" fontId="11" fillId="2" borderId="24" xfId="0" applyNumberFormat="1" applyFont="1" applyFill="1" applyBorder="1" applyAlignment="1">
      <alignment horizontal="center"/>
    </xf>
    <xf numFmtId="169" fontId="11" fillId="7" borderId="17" xfId="0" applyNumberFormat="1" applyFont="1" applyFill="1" applyBorder="1" applyAlignment="1">
      <alignment horizontal="left" wrapText="1"/>
    </xf>
    <xf numFmtId="169" fontId="11" fillId="7" borderId="18" xfId="0" applyNumberFormat="1" applyFont="1" applyFill="1" applyBorder="1" applyAlignment="1">
      <alignment horizontal="left" wrapText="1"/>
    </xf>
    <xf numFmtId="169" fontId="72" fillId="7" borderId="23" xfId="0" applyNumberFormat="1" applyFont="1" applyFill="1" applyBorder="1" applyAlignment="1">
      <alignment horizontal="center" wrapText="1"/>
    </xf>
    <xf numFmtId="169" fontId="72" fillId="7" borderId="3" xfId="0" applyNumberFormat="1" applyFont="1" applyFill="1" applyBorder="1" applyAlignment="1">
      <alignment horizontal="center" wrapText="1"/>
    </xf>
    <xf numFmtId="169" fontId="73" fillId="7" borderId="23" xfId="0" applyNumberFormat="1" applyFont="1" applyFill="1" applyBorder="1" applyAlignment="1">
      <alignment horizontal="center" wrapText="1"/>
    </xf>
    <xf numFmtId="169" fontId="73" fillId="7" borderId="24" xfId="0" applyNumberFormat="1" applyFont="1" applyFill="1" applyBorder="1" applyAlignment="1">
      <alignment horizontal="center" wrapText="1"/>
    </xf>
    <xf numFmtId="0" fontId="13" fillId="0" borderId="13" xfId="0" applyFont="1" applyBorder="1" applyAlignment="1">
      <alignment horizontal="left" wrapText="1"/>
    </xf>
    <xf numFmtId="0" fontId="13" fillId="0" borderId="7" xfId="0" applyFont="1" applyBorder="1" applyAlignment="1">
      <alignment horizontal="left" wrapText="1"/>
    </xf>
    <xf numFmtId="0" fontId="13" fillId="0" borderId="14" xfId="0" applyFont="1" applyBorder="1" applyAlignment="1">
      <alignment horizontal="left" wrapText="1"/>
    </xf>
    <xf numFmtId="0" fontId="12" fillId="0" borderId="15" xfId="0" applyFont="1" applyBorder="1" applyAlignment="1">
      <alignment horizontal="left" wrapText="1"/>
    </xf>
    <xf numFmtId="0" fontId="12" fillId="0" borderId="2" xfId="0" applyFont="1" applyBorder="1" applyAlignment="1">
      <alignment horizontal="left" wrapText="1"/>
    </xf>
    <xf numFmtId="0" fontId="12" fillId="0" borderId="16" xfId="0" applyFont="1" applyBorder="1" applyAlignment="1">
      <alignment horizontal="left" wrapText="1"/>
    </xf>
    <xf numFmtId="0" fontId="13" fillId="0" borderId="20" xfId="0" applyFont="1" applyBorder="1" applyAlignment="1">
      <alignment horizontal="left" wrapText="1"/>
    </xf>
    <xf numFmtId="0" fontId="13" fillId="0" borderId="0" xfId="0" applyFont="1" applyAlignment="1">
      <alignment horizontal="left" wrapText="1"/>
    </xf>
    <xf numFmtId="0" fontId="13" fillId="0" borderId="21" xfId="0" applyFont="1" applyBorder="1" applyAlignment="1">
      <alignment horizontal="left" wrapText="1"/>
    </xf>
    <xf numFmtId="0" fontId="180" fillId="0" borderId="0" xfId="5" applyFont="1" applyBorder="1"/>
    <xf numFmtId="0" fontId="181" fillId="0" borderId="0" xfId="5" applyFont="1" applyBorder="1"/>
    <xf numFmtId="0" fontId="39" fillId="0" borderId="0" xfId="5" applyFont="1" applyBorder="1"/>
    <xf numFmtId="0" fontId="38" fillId="0" borderId="0" xfId="5" applyFont="1" applyBorder="1"/>
    <xf numFmtId="4" fontId="39" fillId="0" borderId="0" xfId="5" applyNumberFormat="1" applyFont="1" applyBorder="1"/>
    <xf numFmtId="0" fontId="49" fillId="0" borderId="0" xfId="5" applyFont="1" applyBorder="1"/>
    <xf numFmtId="0" fontId="182" fillId="0" borderId="0" xfId="5" applyFont="1" applyBorder="1"/>
    <xf numFmtId="0" fontId="34" fillId="0" borderId="0" xfId="5" applyFont="1" applyBorder="1" applyAlignment="1">
      <alignment vertical="top"/>
    </xf>
    <xf numFmtId="167" fontId="38" fillId="0" borderId="0" xfId="2" applyNumberFormat="1" applyFont="1" applyFill="1" applyBorder="1"/>
    <xf numFmtId="167" fontId="39" fillId="0" borderId="0" xfId="2" applyNumberFormat="1" applyFont="1" applyFill="1" applyBorder="1"/>
    <xf numFmtId="167" fontId="49" fillId="0" borderId="0" xfId="2" applyNumberFormat="1" applyFont="1" applyFill="1" applyBorder="1"/>
    <xf numFmtId="167" fontId="182" fillId="0" borderId="0" xfId="2" applyNumberFormat="1" applyFont="1" applyFill="1" applyBorder="1"/>
  </cellXfs>
  <cellStyles count="6">
    <cellStyle name="Comma" xfId="2" builtinId="3"/>
    <cellStyle name="Comma 2" xfId="4" xr:uid="{7B607C22-F30F-434F-B10A-3D5C7259F088}"/>
    <cellStyle name="Normal" xfId="0" builtinId="0"/>
    <cellStyle name="Normal 2" xfId="3" xr:uid="{F85D579F-4E22-4DA7-9922-8835BFBC1554}"/>
    <cellStyle name="Normal 3" xfId="5" xr:uid="{1240331C-473D-4B4C-9642-9E0602DB322D}"/>
    <cellStyle name="Percent" xfId="1" builtinId="5"/>
  </cellStyles>
  <dxfs count="0"/>
  <tableStyles count="0" defaultTableStyle="TableStyleMedium2" defaultPivotStyle="PivotStyleLight16"/>
  <colors>
    <mruColors>
      <color rgb="FFFF5050"/>
      <color rgb="FFFFFFCC"/>
      <color rgb="FF66FFFF"/>
      <color rgb="FFFF99FF"/>
      <color rgb="FFDDEBF7"/>
      <color rgb="FF9BC2E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484908</xdr:colOff>
      <xdr:row>25</xdr:row>
      <xdr:rowOff>34637</xdr:rowOff>
    </xdr:from>
    <xdr:to>
      <xdr:col>34</xdr:col>
      <xdr:colOff>179519</xdr:colOff>
      <xdr:row>64</xdr:row>
      <xdr:rowOff>95362</xdr:rowOff>
    </xdr:to>
    <xdr:pic>
      <xdr:nvPicPr>
        <xdr:cNvPr id="3" name="Picture 2">
          <a:extLst>
            <a:ext uri="{FF2B5EF4-FFF2-40B4-BE49-F238E27FC236}">
              <a16:creationId xmlns:a16="http://schemas.microsoft.com/office/drawing/2014/main" id="{AB043EE7-8818-EAF5-D62A-64BD4BDB1494}"/>
            </a:ext>
          </a:extLst>
        </xdr:cNvPr>
        <xdr:cNvPicPr>
          <a:picLocks noChangeAspect="1"/>
        </xdr:cNvPicPr>
      </xdr:nvPicPr>
      <xdr:blipFill>
        <a:blip xmlns:r="http://schemas.openxmlformats.org/officeDocument/2006/relationships" r:embed="rId1"/>
        <a:stretch>
          <a:fillRect/>
        </a:stretch>
      </xdr:blipFill>
      <xdr:spPr>
        <a:xfrm>
          <a:off x="11499272" y="4352637"/>
          <a:ext cx="9485156" cy="7715361"/>
        </a:xfrm>
        <a:prstGeom prst="rect">
          <a:avLst/>
        </a:prstGeom>
      </xdr:spPr>
    </xdr:pic>
    <xdr:clientData/>
  </xdr:twoCellAnchor>
  <xdr:twoCellAnchor editAs="oneCell">
    <xdr:from>
      <xdr:col>1</xdr:col>
      <xdr:colOff>508000</xdr:colOff>
      <xdr:row>25</xdr:row>
      <xdr:rowOff>103909</xdr:rowOff>
    </xdr:from>
    <xdr:to>
      <xdr:col>17</xdr:col>
      <xdr:colOff>182314</xdr:colOff>
      <xdr:row>64</xdr:row>
      <xdr:rowOff>76</xdr:rowOff>
    </xdr:to>
    <xdr:pic>
      <xdr:nvPicPr>
        <xdr:cNvPr id="4" name="Picture 3">
          <a:extLst>
            <a:ext uri="{FF2B5EF4-FFF2-40B4-BE49-F238E27FC236}">
              <a16:creationId xmlns:a16="http://schemas.microsoft.com/office/drawing/2014/main" id="{C1791B12-3D6D-10E8-9703-B5A0A5ABB182}"/>
            </a:ext>
          </a:extLst>
        </xdr:cNvPr>
        <xdr:cNvPicPr>
          <a:picLocks noChangeAspect="1"/>
        </xdr:cNvPicPr>
      </xdr:nvPicPr>
      <xdr:blipFill>
        <a:blip xmlns:r="http://schemas.openxmlformats.org/officeDocument/2006/relationships" r:embed="rId2"/>
        <a:stretch>
          <a:fillRect/>
        </a:stretch>
      </xdr:blipFill>
      <xdr:spPr>
        <a:xfrm>
          <a:off x="1119909" y="4421909"/>
          <a:ext cx="9464860" cy="75508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281609</xdr:colOff>
      <xdr:row>27</xdr:row>
      <xdr:rowOff>124239</xdr:rowOff>
    </xdr:from>
    <xdr:to>
      <xdr:col>19</xdr:col>
      <xdr:colOff>16565</xdr:colOff>
      <xdr:row>29</xdr:row>
      <xdr:rowOff>0</xdr:rowOff>
    </xdr:to>
    <xdr:sp macro="" textlink="">
      <xdr:nvSpPr>
        <xdr:cNvPr id="2" name="Rectangle 1">
          <a:extLst>
            <a:ext uri="{FF2B5EF4-FFF2-40B4-BE49-F238E27FC236}">
              <a16:creationId xmlns:a16="http://schemas.microsoft.com/office/drawing/2014/main" id="{AB21EAA6-D82E-9E0A-4B1C-1BA188944569}"/>
            </a:ext>
          </a:extLst>
        </xdr:cNvPr>
        <xdr:cNvSpPr/>
      </xdr:nvSpPr>
      <xdr:spPr>
        <a:xfrm>
          <a:off x="1755913" y="4580282"/>
          <a:ext cx="8572500" cy="15737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profilgruppense.sharepoint.com/sites/Ekonomi-EkonomiIntern/Delade%20dokument/Ekonomi%20Intern/Business%20Control/Projects/RAN/Tabeller_v16(2026-07-01.%20Kl.%2011.37).xlsx" TargetMode="External"/><Relationship Id="rId1" Type="http://schemas.openxmlformats.org/officeDocument/2006/relationships/externalLinkPath" Target="https://profilgruppense.sharepoint.com/sites/Ekonomi-EkonomiIntern/Delade%20dokument/Ekonomi%20Intern/Business%20Control/Projects/RAN/Tabeller_v16(2026-07-01.%20Kl.%2011.37).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profilgruppense.sharepoint.com/sites/Ekonomi-EkonomiIntern/Delade%20dokument/Ekonomi%20Intern/Financial%20Reporting/Bokslut/&#197;rsbokslut/&#197;rsbokslut%202026/Delarsrapport%202026.xlsx" TargetMode="External"/><Relationship Id="rId1" Type="http://schemas.openxmlformats.org/officeDocument/2006/relationships/externalLinkPath" Target="https://profilgruppense.sharepoint.com/sites/Ekonomi-EkonomiIntern/Delade%20dokument/Ekonomi%20Intern/Financial%20Reporting/Bokslut/&#197;rsbokslut/&#197;rsbokslut%202026/Delarsrapport%20202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okslut%20koncern\2026\Not%209%20Avvecklad%20verksamh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ullettabell KOPIA ta bort"/>
      <sheetName val="APM -&gt;"/>
      <sheetName val="2603"/>
      <sheetName val="2606"/>
      <sheetName val="Instructions"/>
      <sheetName val="Avstämning RAN vs Månadsrapport"/>
      <sheetName val="Räntekostnader finansinst"/>
      <sheetName val="Checklist Delårsrapport"/>
      <sheetName val="NRC Q126"/>
      <sheetName val="Avskrivningar"/>
      <sheetName val="BR, RR &amp; Bryggor -&gt;"/>
      <sheetName val="Koncern RR "/>
      <sheetName val="Koncern BR"/>
      <sheetName val="Koncernens eget kapital (3)"/>
      <sheetName val="Koncernens eget kapital (2)"/>
      <sheetName val="Koncern Nyckeltal (2)"/>
      <sheetName val="Övriga Tabeller &amp; Noter-&gt;"/>
      <sheetName val="Koncern EK"/>
      <sheetName val="Koncern KFA"/>
      <sheetName val="MB RR"/>
      <sheetName val="MB BR"/>
      <sheetName val="Not 2"/>
      <sheetName val="Not 3"/>
      <sheetName val="Not 4"/>
      <sheetName val="Not 5"/>
      <sheetName val="Not 6"/>
      <sheetName val="Not 9 - Polen"/>
      <sheetName val="Sheet1"/>
      <sheetName val="Koncern RR - EJ ANVÄNDA"/>
      <sheetName val="Bullettabell - EJ ANVÄNDA"/>
      <sheetName val="Koncern BR - KONCERN ANVÄNDA"/>
      <sheetName val="Koncern Nyckeltal - EJ ANVÄNDA"/>
      <sheetName val=" Finansiella ställning TA BORT"/>
      <sheetName val="Bullettabell 20250425 TA BORT"/>
      <sheetName val="Not 6 TA BORT"/>
      <sheetName val="Not 7 tab1"/>
      <sheetName val="Not 7 tab2"/>
    </sheetNames>
    <sheetDataSet>
      <sheetData sheetId="0"/>
      <sheetData sheetId="1"/>
      <sheetData sheetId="2"/>
      <sheetData sheetId="3"/>
      <sheetData sheetId="4"/>
      <sheetData sheetId="5"/>
      <sheetData sheetId="6"/>
      <sheetData sheetId="7"/>
      <sheetData sheetId="8"/>
      <sheetData sheetId="9"/>
      <sheetData sheetId="10"/>
      <sheetData sheetId="11">
        <row r="12">
          <cell r="FP12">
            <v>684.69999999999993</v>
          </cell>
          <cell r="FQ12">
            <v>671.99999999999989</v>
          </cell>
          <cell r="FR12">
            <v>1294.3</v>
          </cell>
          <cell r="FS12">
            <v>1311.6</v>
          </cell>
          <cell r="FT12">
            <v>2312.5</v>
          </cell>
          <cell r="FU12">
            <v>2329.8000000000002</v>
          </cell>
          <cell r="FV12"/>
          <cell r="FW12">
            <v>684.69999999999993</v>
          </cell>
          <cell r="FX12">
            <v>671.99999999999989</v>
          </cell>
          <cell r="FY12">
            <v>1294.3</v>
          </cell>
          <cell r="FZ12">
            <v>1311.6</v>
          </cell>
          <cell r="GA12">
            <v>2312.5</v>
          </cell>
          <cell r="GB12">
            <v>2329.8000000000002</v>
          </cell>
        </row>
        <row r="15">
          <cell r="FP15">
            <v>-46.927143999999998</v>
          </cell>
          <cell r="FQ15">
            <v>-46.524999999999999</v>
          </cell>
          <cell r="FR15">
            <v>-93.227786000000009</v>
          </cell>
          <cell r="FS15">
            <v>-93.05</v>
          </cell>
          <cell r="FT15">
            <v>-186.27778599999999</v>
          </cell>
          <cell r="FU15">
            <v>-186.1</v>
          </cell>
          <cell r="FV15"/>
          <cell r="FW15">
            <v>-21.699999999999996</v>
          </cell>
          <cell r="FX15">
            <v>-22.8</v>
          </cell>
          <cell r="FY15">
            <v>-43.7</v>
          </cell>
          <cell r="FZ15">
            <v>-44.7</v>
          </cell>
          <cell r="GA15">
            <v>-87.699999999999989</v>
          </cell>
          <cell r="GB15">
            <v>-88.7</v>
          </cell>
        </row>
        <row r="16">
          <cell r="FP16">
            <v>67.17285600000011</v>
          </cell>
          <cell r="FQ16">
            <v>16.674999999999798</v>
          </cell>
          <cell r="FR16">
            <v>93.272214000000076</v>
          </cell>
          <cell r="FS16">
            <v>49.549999999999862</v>
          </cell>
          <cell r="FT16">
            <v>94.922214000000281</v>
          </cell>
          <cell r="FU16">
            <v>51.200000000000053</v>
          </cell>
          <cell r="FV16"/>
          <cell r="FW16">
            <v>92.400000000000063</v>
          </cell>
          <cell r="FX16">
            <v>40.399999999999849</v>
          </cell>
          <cell r="FY16">
            <v>142.80000000000004</v>
          </cell>
          <cell r="FZ16">
            <v>97.899999999999949</v>
          </cell>
          <cell r="GA16">
            <v>193.50000000000023</v>
          </cell>
          <cell r="GB16">
            <v>148.60000000000014</v>
          </cell>
        </row>
        <row r="17">
          <cell r="HJ17">
            <v>196.5</v>
          </cell>
          <cell r="HK17">
            <v>203</v>
          </cell>
          <cell r="HL17">
            <v>196.5</v>
          </cell>
          <cell r="HM17">
            <v>203</v>
          </cell>
          <cell r="HN17">
            <v>196.5</v>
          </cell>
          <cell r="HO17">
            <v>134</v>
          </cell>
        </row>
        <row r="18">
          <cell r="HJ18">
            <v>104.1</v>
          </cell>
          <cell r="HK18">
            <v>116</v>
          </cell>
          <cell r="HL18">
            <v>104.1</v>
          </cell>
          <cell r="HM18">
            <v>116</v>
          </cell>
          <cell r="HN18">
            <v>104.1</v>
          </cell>
          <cell r="HO18">
            <v>173.8</v>
          </cell>
        </row>
        <row r="19">
          <cell r="HJ19">
            <v>0.37019914651493563</v>
          </cell>
          <cell r="HK19">
            <v>0.46418567426970797</v>
          </cell>
          <cell r="HL19">
            <v>0.37019914651493563</v>
          </cell>
          <cell r="HM19">
            <v>0.46418567426970797</v>
          </cell>
          <cell r="HN19">
            <v>0.37019914651493563</v>
          </cell>
          <cell r="HO19">
            <v>0.73240623683101524</v>
          </cell>
        </row>
        <row r="22">
          <cell r="HJ22">
            <v>1.3748995983935741</v>
          </cell>
          <cell r="HK22">
            <v>1.3466933867735469</v>
          </cell>
          <cell r="HL22">
            <v>2.5963891675025073</v>
          </cell>
          <cell r="HM22">
            <v>2.639034205231388</v>
          </cell>
          <cell r="HN22">
            <v>4.6111665004985047</v>
          </cell>
          <cell r="HO22">
            <v>4.6526210683974041</v>
          </cell>
        </row>
        <row r="24">
          <cell r="FP24">
            <v>0.12784667109893286</v>
          </cell>
          <cell r="FQ24">
            <v>3.0172693623576156E-3</v>
          </cell>
          <cell r="FR24">
            <v>8.43039798972475E-2</v>
          </cell>
          <cell r="FS24">
            <v>3.5678265332074896E-2</v>
          </cell>
          <cell r="FT24">
            <v>2.7544781234643826E-2</v>
          </cell>
          <cell r="FU24">
            <v>1.9168760931301643E-3</v>
          </cell>
          <cell r="FV24"/>
          <cell r="FW24">
            <v>0.36297640653357571</v>
          </cell>
          <cell r="FX24">
            <v>0.10204369274136635</v>
          </cell>
          <cell r="FY24">
            <v>0.27363020456488862</v>
          </cell>
          <cell r="FZ24">
            <v>0.17940490081680258</v>
          </cell>
          <cell r="GA24">
            <v>0.16054313099041562</v>
          </cell>
          <cell r="GB24">
            <v>0.11244690806997353</v>
          </cell>
        </row>
        <row r="27">
          <cell r="FP27">
            <v>211.07943979190605</v>
          </cell>
          <cell r="FQ27">
            <v>191.77209165195603</v>
          </cell>
          <cell r="FR27">
            <v>211.07943979190605</v>
          </cell>
          <cell r="FS27">
            <v>191.77209165195603</v>
          </cell>
          <cell r="FT27">
            <v>211.07943979190605</v>
          </cell>
          <cell r="FU27">
            <v>195.50778601958208</v>
          </cell>
          <cell r="FW27">
            <v>107.40640627111772</v>
          </cell>
          <cell r="FX27">
            <v>92.134072171915122</v>
          </cell>
          <cell r="FY27">
            <v>107.40640627111772</v>
          </cell>
          <cell r="FZ27">
            <v>92.134072171915122</v>
          </cell>
          <cell r="GA27">
            <v>107.40640627111772</v>
          </cell>
          <cell r="GB27">
            <v>94.445195296661709</v>
          </cell>
        </row>
        <row r="34">
          <cell r="HJ34">
            <v>62.872856000000112</v>
          </cell>
          <cell r="HK34">
            <v>10.874999999999797</v>
          </cell>
          <cell r="HL34">
            <v>85.772214000000091</v>
          </cell>
          <cell r="HM34">
            <v>45.149999999999864</v>
          </cell>
          <cell r="HN34">
            <v>84.922214000000281</v>
          </cell>
          <cell r="HO34">
            <v>44.300000000000054</v>
          </cell>
        </row>
        <row r="38">
          <cell r="HJ38">
            <v>0.15381987195003205</v>
          </cell>
          <cell r="HK38">
            <v>3.0612801098575362E-2</v>
          </cell>
          <cell r="HL38">
            <v>0.10568452971351758</v>
          </cell>
          <cell r="HM38">
            <v>6.10397977562347E-2</v>
          </cell>
          <cell r="HN38">
            <v>5.5906750254244547E-2</v>
          </cell>
          <cell r="HO38">
            <v>3.113027095486216E-2</v>
          </cell>
        </row>
        <row r="40">
          <cell r="HJ40">
            <v>2464.0078124457832</v>
          </cell>
          <cell r="HK40">
            <v>2420.739605887039</v>
          </cell>
          <cell r="HL40">
            <v>2464.0078124457832</v>
          </cell>
          <cell r="HM40">
            <v>2420.739605887039</v>
          </cell>
          <cell r="HN40">
            <v>2464.0078124457832</v>
          </cell>
          <cell r="HO40">
            <v>2361.585591886711</v>
          </cell>
        </row>
        <row r="43">
          <cell r="HJ43">
            <v>6.5544605022917105E-2</v>
          </cell>
          <cell r="HK43">
            <v>8.0045982438111479E-2</v>
          </cell>
          <cell r="HL43">
            <v>6.5544605022917105E-2</v>
          </cell>
          <cell r="HM43">
            <v>8.0045982438111479E-2</v>
          </cell>
          <cell r="HN43">
            <v>6.5544605022917105E-2</v>
          </cell>
          <cell r="HO43">
            <v>0.11760545867220602</v>
          </cell>
        </row>
        <row r="44">
          <cell r="HJ44">
            <v>1.5188400043349446</v>
          </cell>
          <cell r="HK44">
            <v>1.6678293278800851</v>
          </cell>
          <cell r="HL44">
            <v>1.5188400043349446</v>
          </cell>
          <cell r="HM44">
            <v>1.6678293278800851</v>
          </cell>
          <cell r="HN44">
            <v>1.3969861857342234</v>
          </cell>
          <cell r="HO44">
            <v>1.4365514828933987</v>
          </cell>
        </row>
        <row r="45">
          <cell r="HJ45">
            <v>0.76655918171417881</v>
          </cell>
          <cell r="HK45">
            <v>0.71756565706724573</v>
          </cell>
          <cell r="HL45">
            <v>0.76655918171417881</v>
          </cell>
          <cell r="HM45">
            <v>0.71756565706724573</v>
          </cell>
          <cell r="HN45">
            <v>0.76655918171417881</v>
          </cell>
          <cell r="HO45">
            <v>0.75054895235477892</v>
          </cell>
        </row>
        <row r="46">
          <cell r="HJ46">
            <v>27.844270230610942</v>
          </cell>
          <cell r="HK46">
            <v>9.1143816973213685</v>
          </cell>
          <cell r="HL46">
            <v>21.001524805811847</v>
          </cell>
          <cell r="HM46">
            <v>16.828815001304839</v>
          </cell>
          <cell r="HN46">
            <v>12.140288305899698</v>
          </cell>
          <cell r="HO46">
            <v>8.1600693862767475</v>
          </cell>
        </row>
        <row r="60">
          <cell r="HJ60">
            <v>88.100000000000065</v>
          </cell>
          <cell r="HK60">
            <v>34.599999999999852</v>
          </cell>
          <cell r="HL60">
            <v>135.30000000000004</v>
          </cell>
          <cell r="HM60">
            <v>93.499999999999943</v>
          </cell>
          <cell r="HN60">
            <v>183.50000000000023</v>
          </cell>
          <cell r="HO60">
            <v>141.70000000000013</v>
          </cell>
        </row>
        <row r="64">
          <cell r="HJ64">
            <v>0.39082648162912587</v>
          </cell>
          <cell r="HK64">
            <v>0.17013118589349044</v>
          </cell>
          <cell r="HL64">
            <v>0.29972254819904465</v>
          </cell>
          <cell r="HM64">
            <v>0.23344007978195014</v>
          </cell>
          <cell r="HN64">
            <v>0.21526494532860307</v>
          </cell>
          <cell r="HO64">
            <v>0.17016119074905087</v>
          </cell>
        </row>
        <row r="66">
          <cell r="HJ66">
            <v>1478.1999999999998</v>
          </cell>
          <cell r="HK66">
            <v>1473.3</v>
          </cell>
          <cell r="HL66">
            <v>1478.1999999999998</v>
          </cell>
          <cell r="HM66">
            <v>1473.3</v>
          </cell>
          <cell r="HN66">
            <v>1478.1999999999998</v>
          </cell>
          <cell r="HO66">
            <v>1400.6</v>
          </cell>
        </row>
        <row r="69">
          <cell r="HJ69">
            <v>0.12923649906890131</v>
          </cell>
          <cell r="HK69">
            <v>0.16645142775147082</v>
          </cell>
          <cell r="HL69">
            <v>0.12923649906890131</v>
          </cell>
          <cell r="HM69">
            <v>0.16645142775147082</v>
          </cell>
          <cell r="HN69">
            <v>0.12923649906890131</v>
          </cell>
          <cell r="HO69">
            <v>0.24314493564633466</v>
          </cell>
        </row>
        <row r="70">
          <cell r="HJ70">
            <v>2.7791078426109834</v>
          </cell>
          <cell r="HK70">
            <v>3.1777104784978802</v>
          </cell>
          <cell r="HL70">
            <v>2.7791078426109834</v>
          </cell>
          <cell r="HM70">
            <v>3.1777104784978802</v>
          </cell>
          <cell r="HN70">
            <v>2.6046066340034919</v>
          </cell>
          <cell r="HO70">
            <v>2.6807041767345536</v>
          </cell>
        </row>
        <row r="71">
          <cell r="HJ71">
            <v>61.087809498038162</v>
          </cell>
          <cell r="HK71">
            <v>53.593972714314809</v>
          </cell>
          <cell r="HL71">
            <v>61.087809498038162</v>
          </cell>
          <cell r="HM71">
            <v>53.593972714314809</v>
          </cell>
          <cell r="HN71">
            <v>61.087809498038162</v>
          </cell>
          <cell r="HO71">
            <v>57.939454519491647</v>
          </cell>
        </row>
        <row r="72">
          <cell r="HJ72">
            <v>38.615281979823237</v>
          </cell>
          <cell r="HK72">
            <v>26.816791423202151</v>
          </cell>
          <cell r="HL72">
            <v>32.551083737051968</v>
          </cell>
          <cell r="HM72">
            <v>33.779495074684519</v>
          </cell>
          <cell r="HN72">
            <v>25.071945464499908</v>
          </cell>
          <cell r="HO72">
            <v>23.902524425178662</v>
          </cell>
        </row>
        <row r="118">
          <cell r="HJ118">
            <v>1588.2314030819521</v>
          </cell>
          <cell r="HK118">
            <v>1449.1670470743088</v>
          </cell>
          <cell r="HL118">
            <v>1588.2314030819521</v>
          </cell>
          <cell r="HM118">
            <v>1449.1670470743088</v>
          </cell>
          <cell r="HN118">
            <v>1588.2314030819521</v>
          </cell>
          <cell r="HO118">
            <v>1477.8225599580487</v>
          </cell>
        </row>
        <row r="211">
          <cell r="HJ211">
            <v>805.5</v>
          </cell>
          <cell r="HK211">
            <v>696.9</v>
          </cell>
          <cell r="HL211">
            <v>805.5</v>
          </cell>
          <cell r="HM211">
            <v>696.9</v>
          </cell>
          <cell r="HN211">
            <v>805.5</v>
          </cell>
          <cell r="HO211">
            <v>714.8</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AS 19"/>
      <sheetName val="rapkvart"/>
      <sheetName val="Hemsidan Avst alt nyckeltal"/>
      <sheetName val="Hemsidan Recons APM"/>
      <sheetName val="Blad1"/>
    </sheetNames>
    <sheetDataSet>
      <sheetData sheetId="0"/>
      <sheetData sheetId="1">
        <row r="4">
          <cell r="D4" t="str">
            <v>Kvartal 2</v>
          </cell>
          <cell r="E4" t="str">
            <v>Kvartal 2</v>
          </cell>
          <cell r="F4" t="str">
            <v>Kvartal 1-2</v>
          </cell>
          <cell r="G4" t="str">
            <v>Kvartal 1-2</v>
          </cell>
          <cell r="H4" t="str">
            <v>12 mån</v>
          </cell>
        </row>
        <row r="5">
          <cell r="A5" t="str">
            <v>MSEK</v>
          </cell>
          <cell r="B5" t="str">
            <v>Mkr</v>
          </cell>
          <cell r="C5" t="str">
            <v>Not</v>
          </cell>
          <cell r="D5">
            <v>2026</v>
          </cell>
          <cell r="E5">
            <v>2025</v>
          </cell>
          <cell r="F5">
            <v>2026</v>
          </cell>
          <cell r="G5">
            <v>2025</v>
          </cell>
          <cell r="H5" t="str">
            <v>rullande</v>
          </cell>
          <cell r="I5">
            <v>2025</v>
          </cell>
          <cell r="S5">
            <v>2024</v>
          </cell>
          <cell r="T5">
            <v>2024</v>
          </cell>
          <cell r="U5">
            <v>2024</v>
          </cell>
          <cell r="V5">
            <v>2024</v>
          </cell>
        </row>
        <row r="6">
          <cell r="A6" t="str">
            <v>Net turnover</v>
          </cell>
          <cell r="B6" t="str">
            <v>Intäkter</v>
          </cell>
          <cell r="D6">
            <v>684.69999999999993</v>
          </cell>
          <cell r="E6">
            <v>671.99999999999989</v>
          </cell>
          <cell r="F6">
            <v>1294.3</v>
          </cell>
          <cell r="G6">
            <v>1311.6</v>
          </cell>
          <cell r="H6">
            <v>2312.5</v>
          </cell>
          <cell r="I6">
            <v>2329.8000000000002</v>
          </cell>
          <cell r="K6">
            <v>609.6</v>
          </cell>
          <cell r="L6">
            <v>1294.3</v>
          </cell>
          <cell r="M6">
            <v>1809.4</v>
          </cell>
          <cell r="N6">
            <v>2329.8000000000002</v>
          </cell>
          <cell r="O6">
            <v>639.6</v>
          </cell>
          <cell r="P6">
            <v>1311.6</v>
          </cell>
          <cell r="Q6">
            <v>1809.4</v>
          </cell>
          <cell r="R6">
            <v>2329.8000000000002</v>
          </cell>
          <cell r="S6">
            <v>581.20000000000005</v>
          </cell>
          <cell r="T6">
            <v>1185.7</v>
          </cell>
          <cell r="U6">
            <v>1692.3</v>
          </cell>
          <cell r="V6">
            <v>2271.8000000000002</v>
          </cell>
          <cell r="W6">
            <v>609.6</v>
          </cell>
          <cell r="X6">
            <v>684.69999999999993</v>
          </cell>
          <cell r="Y6">
            <v>515.10000000000014</v>
          </cell>
          <cell r="Z6">
            <v>520.40000000000009</v>
          </cell>
          <cell r="AA6">
            <v>639.6</v>
          </cell>
          <cell r="AB6">
            <v>671.99999999999989</v>
          </cell>
          <cell r="AC6">
            <v>497.80000000000018</v>
          </cell>
          <cell r="AD6">
            <v>520.40000000000009</v>
          </cell>
          <cell r="AE6">
            <v>581.20000000000005</v>
          </cell>
          <cell r="AF6">
            <v>604.5</v>
          </cell>
          <cell r="AG6">
            <v>506.59999999999991</v>
          </cell>
          <cell r="AH6">
            <v>579.50000000000023</v>
          </cell>
        </row>
        <row r="7">
          <cell r="A7" t="str">
            <v xml:space="preserve">Cost of goods solds </v>
          </cell>
          <cell r="B7" t="str">
            <v xml:space="preserve">Kostnad för sålda varor </v>
          </cell>
          <cell r="C7">
            <v>3</v>
          </cell>
          <cell r="D7">
            <v>-552.39999999999986</v>
          </cell>
          <cell r="E7">
            <v>-594.70000000000005</v>
          </cell>
          <cell r="F7">
            <v>-1072.0999999999999</v>
          </cell>
          <cell r="G7">
            <v>-1142.5</v>
          </cell>
          <cell r="H7">
            <v>-1971</v>
          </cell>
          <cell r="K7">
            <v>-519.70000000000005</v>
          </cell>
          <cell r="L7">
            <v>-1072.0999999999999</v>
          </cell>
          <cell r="M7">
            <v>-1582.4</v>
          </cell>
          <cell r="N7">
            <v>-2041.4</v>
          </cell>
          <cell r="O7">
            <v>-547.79999999999995</v>
          </cell>
          <cell r="P7">
            <v>-1142.5</v>
          </cell>
          <cell r="Q7">
            <v>-1582.4</v>
          </cell>
          <cell r="R7">
            <v>-2041.4</v>
          </cell>
          <cell r="S7">
            <v>-504</v>
          </cell>
          <cell r="T7">
            <v>-1018.3</v>
          </cell>
          <cell r="U7">
            <v>-1462.2</v>
          </cell>
          <cell r="V7">
            <v>-1976.7</v>
          </cell>
          <cell r="W7">
            <v>-519.70000000000005</v>
          </cell>
          <cell r="X7">
            <v>-552.39999999999986</v>
          </cell>
          <cell r="Y7">
            <v>-510.30000000000018</v>
          </cell>
          <cell r="Z7">
            <v>-459</v>
          </cell>
          <cell r="AA7">
            <v>-547.79999999999995</v>
          </cell>
          <cell r="AB7">
            <v>-594.70000000000005</v>
          </cell>
          <cell r="AC7">
            <v>-439.90000000000009</v>
          </cell>
          <cell r="AD7">
            <v>-459</v>
          </cell>
          <cell r="AE7">
            <v>-504</v>
          </cell>
          <cell r="AF7">
            <v>-514.29999999999995</v>
          </cell>
          <cell r="AG7">
            <v>-443.90000000000009</v>
          </cell>
          <cell r="AH7">
            <v>-514.5</v>
          </cell>
        </row>
        <row r="8">
          <cell r="A8" t="str">
            <v>Gross Margin</v>
          </cell>
          <cell r="B8" t="str">
            <v>Bruttoresultat</v>
          </cell>
          <cell r="D8">
            <v>132.30000000000007</v>
          </cell>
          <cell r="E8">
            <v>77.299999999999841</v>
          </cell>
          <cell r="F8">
            <v>222.20000000000005</v>
          </cell>
          <cell r="G8">
            <v>169.09999999999991</v>
          </cell>
          <cell r="H8">
            <v>341.5</v>
          </cell>
          <cell r="K8">
            <v>89.899999999999977</v>
          </cell>
          <cell r="L8">
            <v>222.20000000000005</v>
          </cell>
          <cell r="M8">
            <v>227</v>
          </cell>
          <cell r="N8">
            <v>288.40000000000009</v>
          </cell>
          <cell r="O8">
            <v>91.800000000000068</v>
          </cell>
          <cell r="P8">
            <v>169.09999999999991</v>
          </cell>
          <cell r="Q8">
            <v>227</v>
          </cell>
          <cell r="R8">
            <v>288.40000000000009</v>
          </cell>
          <cell r="S8">
            <v>77.200000000000045</v>
          </cell>
          <cell r="T8">
            <v>167.40000000000009</v>
          </cell>
          <cell r="U8">
            <v>230.09999999999991</v>
          </cell>
          <cell r="V8">
            <v>295.10000000000014</v>
          </cell>
          <cell r="W8">
            <v>89.899999999999977</v>
          </cell>
          <cell r="X8">
            <v>132.30000000000007</v>
          </cell>
          <cell r="Y8">
            <v>4.7999999999999545</v>
          </cell>
          <cell r="Z8">
            <v>61.400000000000091</v>
          </cell>
          <cell r="AA8">
            <v>91.800000000000068</v>
          </cell>
          <cell r="AB8">
            <v>77.299999999999841</v>
          </cell>
          <cell r="AC8">
            <v>57.900000000000091</v>
          </cell>
          <cell r="AD8">
            <v>61.400000000000091</v>
          </cell>
          <cell r="AE8">
            <v>77.200000000000045</v>
          </cell>
          <cell r="AF8">
            <v>90.200000000000045</v>
          </cell>
          <cell r="AG8">
            <v>62.699999999999818</v>
          </cell>
          <cell r="AH8">
            <v>65.000000000000227</v>
          </cell>
        </row>
        <row r="10">
          <cell r="A10" t="str">
            <v xml:space="preserve">Other operating revenues </v>
          </cell>
          <cell r="B10" t="str">
            <v>Övriga rörelseintäkter</v>
          </cell>
          <cell r="D10">
            <v>0.1</v>
          </cell>
          <cell r="E10">
            <v>0.2</v>
          </cell>
          <cell r="F10">
            <v>0.1</v>
          </cell>
          <cell r="G10">
            <v>0.4</v>
          </cell>
          <cell r="H10">
            <v>0.8</v>
          </cell>
          <cell r="K10">
            <v>0</v>
          </cell>
          <cell r="L10">
            <v>0.1</v>
          </cell>
          <cell r="M10">
            <v>0.6</v>
          </cell>
          <cell r="N10">
            <v>1.1000000000000001</v>
          </cell>
          <cell r="O10">
            <v>0.2</v>
          </cell>
          <cell r="P10">
            <v>0.4</v>
          </cell>
          <cell r="Q10">
            <v>0.6</v>
          </cell>
          <cell r="R10">
            <v>1.1000000000000001</v>
          </cell>
          <cell r="S10">
            <v>0.3</v>
          </cell>
          <cell r="T10">
            <v>0.3</v>
          </cell>
          <cell r="U10">
            <v>0.3</v>
          </cell>
          <cell r="V10">
            <v>0.6</v>
          </cell>
          <cell r="W10">
            <v>0</v>
          </cell>
          <cell r="X10">
            <v>0.1</v>
          </cell>
          <cell r="Y10">
            <v>0.5</v>
          </cell>
          <cell r="Z10">
            <v>0.50000000000000011</v>
          </cell>
          <cell r="AA10">
            <v>0.2</v>
          </cell>
          <cell r="AB10">
            <v>0.2</v>
          </cell>
          <cell r="AC10">
            <v>0.19999999999999996</v>
          </cell>
          <cell r="AD10">
            <v>0.50000000000000011</v>
          </cell>
          <cell r="AE10">
            <v>0.3</v>
          </cell>
          <cell r="AF10">
            <v>0</v>
          </cell>
          <cell r="AG10">
            <v>0</v>
          </cell>
          <cell r="AH10">
            <v>0.3</v>
          </cell>
        </row>
        <row r="11">
          <cell r="A11" t="str">
            <v>Selling expenses</v>
          </cell>
          <cell r="B11" t="str">
            <v xml:space="preserve">Försäljningskostnader </v>
          </cell>
          <cell r="D11">
            <v>-21.9</v>
          </cell>
          <cell r="E11">
            <v>-22.3</v>
          </cell>
          <cell r="F11">
            <v>-44</v>
          </cell>
          <cell r="G11">
            <v>-42.5</v>
          </cell>
          <cell r="H11">
            <v>-88.8</v>
          </cell>
          <cell r="K11">
            <v>-22.1</v>
          </cell>
          <cell r="L11">
            <v>-44</v>
          </cell>
          <cell r="M11">
            <v>-60.1</v>
          </cell>
          <cell r="N11">
            <v>-87.3</v>
          </cell>
          <cell r="O11">
            <v>-20.2</v>
          </cell>
          <cell r="P11">
            <v>-42.5</v>
          </cell>
          <cell r="Q11">
            <v>-60.1</v>
          </cell>
          <cell r="R11">
            <v>-87.3</v>
          </cell>
          <cell r="S11">
            <v>-19.2</v>
          </cell>
          <cell r="T11">
            <v>-39.5</v>
          </cell>
          <cell r="U11">
            <v>-56.6</v>
          </cell>
          <cell r="V11">
            <v>-78</v>
          </cell>
          <cell r="W11">
            <v>-22.1</v>
          </cell>
          <cell r="X11">
            <v>-21.9</v>
          </cell>
          <cell r="Y11">
            <v>-16.100000000000001</v>
          </cell>
          <cell r="Z11">
            <v>-27.199999999999996</v>
          </cell>
          <cell r="AA11">
            <v>-20.2</v>
          </cell>
          <cell r="AB11">
            <v>-22.3</v>
          </cell>
          <cell r="AC11">
            <v>-17.600000000000001</v>
          </cell>
          <cell r="AD11">
            <v>-27.199999999999996</v>
          </cell>
          <cell r="AE11">
            <v>-19.2</v>
          </cell>
          <cell r="AF11">
            <v>-20.3</v>
          </cell>
          <cell r="AG11">
            <v>-17.100000000000001</v>
          </cell>
          <cell r="AH11">
            <v>-21.4</v>
          </cell>
        </row>
        <row r="12">
          <cell r="A12" t="str">
            <v>Administrative expenses</v>
          </cell>
          <cell r="B12" t="str">
            <v xml:space="preserve">Administrationskostnader </v>
          </cell>
          <cell r="D12">
            <v>-18.100000000000001</v>
          </cell>
          <cell r="E12">
            <v>-14.8</v>
          </cell>
          <cell r="F12">
            <v>-35.5</v>
          </cell>
          <cell r="G12">
            <v>-29</v>
          </cell>
          <cell r="H12">
            <v>-60</v>
          </cell>
          <cell r="K12">
            <v>-17.399999999999999</v>
          </cell>
          <cell r="L12">
            <v>-35.5</v>
          </cell>
          <cell r="M12">
            <v>-40.4</v>
          </cell>
          <cell r="N12">
            <v>-53.5</v>
          </cell>
          <cell r="O12">
            <v>-14.2</v>
          </cell>
          <cell r="P12">
            <v>-29</v>
          </cell>
          <cell r="Q12">
            <v>-40.4</v>
          </cell>
          <cell r="R12">
            <v>-53.5</v>
          </cell>
          <cell r="S12">
            <v>-14.3</v>
          </cell>
          <cell r="T12">
            <v>-28.8</v>
          </cell>
          <cell r="U12">
            <v>-40.700000000000003</v>
          </cell>
          <cell r="V12">
            <v>-56</v>
          </cell>
          <cell r="W12">
            <v>-17.399999999999999</v>
          </cell>
          <cell r="X12">
            <v>-18.100000000000001</v>
          </cell>
          <cell r="Y12">
            <v>-4.8999999999999986</v>
          </cell>
          <cell r="Z12">
            <v>-13.100000000000001</v>
          </cell>
          <cell r="AA12">
            <v>-14.2</v>
          </cell>
          <cell r="AB12">
            <v>-14.8</v>
          </cell>
          <cell r="AC12">
            <v>-11.399999999999999</v>
          </cell>
          <cell r="AD12">
            <v>-13.100000000000001</v>
          </cell>
          <cell r="AE12">
            <v>-14.3</v>
          </cell>
          <cell r="AF12">
            <v>-14.5</v>
          </cell>
          <cell r="AG12">
            <v>-11.900000000000002</v>
          </cell>
          <cell r="AH12">
            <v>-15.299999999999997</v>
          </cell>
        </row>
        <row r="13">
          <cell r="A13" t="str">
            <v>Other operating expenses</v>
          </cell>
          <cell r="B13" t="str">
            <v>Övriga rörelsekostnader</v>
          </cell>
          <cell r="D13">
            <v>0</v>
          </cell>
          <cell r="E13">
            <v>0</v>
          </cell>
          <cell r="F13">
            <v>0</v>
          </cell>
          <cell r="G13">
            <v>-0.1</v>
          </cell>
          <cell r="H13">
            <v>0</v>
          </cell>
          <cell r="K13">
            <v>0</v>
          </cell>
          <cell r="L13">
            <v>0</v>
          </cell>
          <cell r="M13">
            <v>-0.1</v>
          </cell>
          <cell r="N13">
            <v>-0.1</v>
          </cell>
          <cell r="O13">
            <v>-0.1</v>
          </cell>
          <cell r="P13">
            <v>-0.1</v>
          </cell>
          <cell r="Q13">
            <v>-0.1</v>
          </cell>
          <cell r="R13">
            <v>-0.1</v>
          </cell>
          <cell r="S13">
            <v>-0.4</v>
          </cell>
          <cell r="T13">
            <v>-0.9</v>
          </cell>
          <cell r="U13">
            <v>-0.9</v>
          </cell>
          <cell r="V13">
            <v>-0.9</v>
          </cell>
          <cell r="W13">
            <v>0</v>
          </cell>
          <cell r="X13">
            <v>0</v>
          </cell>
          <cell r="Y13">
            <v>-0.1</v>
          </cell>
          <cell r="Z13">
            <v>0</v>
          </cell>
          <cell r="AA13">
            <v>-0.1</v>
          </cell>
          <cell r="AB13">
            <v>0</v>
          </cell>
          <cell r="AC13">
            <v>0</v>
          </cell>
          <cell r="AD13">
            <v>0</v>
          </cell>
          <cell r="AE13">
            <v>-0.4</v>
          </cell>
          <cell r="AF13">
            <v>-0.5</v>
          </cell>
          <cell r="AG13">
            <v>0</v>
          </cell>
          <cell r="AH13">
            <v>0</v>
          </cell>
        </row>
        <row r="14">
          <cell r="A14" t="str">
            <v>Operating profit/loss</v>
          </cell>
          <cell r="B14" t="str">
            <v>Rörelseresultat</v>
          </cell>
          <cell r="D14">
            <v>92.400000000000063</v>
          </cell>
          <cell r="E14">
            <v>40.399999999999849</v>
          </cell>
          <cell r="F14">
            <v>142.80000000000004</v>
          </cell>
          <cell r="G14">
            <v>97.89999999999992</v>
          </cell>
          <cell r="H14">
            <v>193.5</v>
          </cell>
          <cell r="K14">
            <v>50.399999999999984</v>
          </cell>
          <cell r="L14">
            <v>142.80000000000004</v>
          </cell>
          <cell r="M14">
            <v>127</v>
          </cell>
          <cell r="N14">
            <v>148.60000000000011</v>
          </cell>
          <cell r="O14">
            <v>57.500000000000064</v>
          </cell>
          <cell r="P14">
            <v>97.89999999999992</v>
          </cell>
          <cell r="Q14">
            <v>127</v>
          </cell>
          <cell r="R14">
            <v>148.60000000000011</v>
          </cell>
          <cell r="S14">
            <v>43.600000000000044</v>
          </cell>
          <cell r="T14">
            <v>98.500000000000099</v>
          </cell>
          <cell r="U14">
            <v>132.1999999999999</v>
          </cell>
          <cell r="V14">
            <v>160.80000000000015</v>
          </cell>
          <cell r="W14">
            <v>50.399999999999984</v>
          </cell>
          <cell r="X14">
            <v>92.400000000000063</v>
          </cell>
          <cell r="Y14">
            <v>-15.800000000000045</v>
          </cell>
          <cell r="Z14">
            <v>21.600000000000094</v>
          </cell>
          <cell r="AA14">
            <v>57.500000000000099</v>
          </cell>
          <cell r="AB14">
            <v>40.399999999999849</v>
          </cell>
          <cell r="AC14">
            <v>29.100000000000094</v>
          </cell>
          <cell r="AD14">
            <v>21.600000000000094</v>
          </cell>
          <cell r="AE14">
            <v>43.600000000000044</v>
          </cell>
          <cell r="AF14">
            <v>54.900000000000048</v>
          </cell>
          <cell r="AG14">
            <v>33.699999999999818</v>
          </cell>
          <cell r="AH14">
            <v>28.600000000000229</v>
          </cell>
        </row>
        <row r="16">
          <cell r="A16" t="str">
            <v>Financial income</v>
          </cell>
          <cell r="B16" t="str">
            <v>Finansiella intäkter</v>
          </cell>
          <cell r="D16">
            <v>0.19999999999999996</v>
          </cell>
          <cell r="E16">
            <v>0.19999999999999996</v>
          </cell>
          <cell r="F16">
            <v>0.6</v>
          </cell>
          <cell r="G16">
            <v>0.6</v>
          </cell>
          <cell r="K16">
            <v>0.4</v>
          </cell>
          <cell r="L16">
            <v>0.6</v>
          </cell>
          <cell r="M16">
            <v>0.7</v>
          </cell>
          <cell r="N16">
            <v>2.2000000000000002</v>
          </cell>
          <cell r="O16">
            <v>0.4</v>
          </cell>
          <cell r="P16">
            <v>0.6</v>
          </cell>
          <cell r="Q16">
            <v>0.7</v>
          </cell>
          <cell r="R16">
            <v>2.2000000000000002</v>
          </cell>
          <cell r="S16">
            <v>0.1</v>
          </cell>
          <cell r="T16">
            <v>2.2999999999999998</v>
          </cell>
          <cell r="U16">
            <v>4</v>
          </cell>
          <cell r="V16">
            <v>3.7</v>
          </cell>
          <cell r="W16">
            <v>0.4</v>
          </cell>
          <cell r="X16">
            <v>0.19999999999999996</v>
          </cell>
          <cell r="Y16">
            <v>9.9999999999999978E-2</v>
          </cell>
          <cell r="Z16">
            <v>1.5000000000000002</v>
          </cell>
          <cell r="AA16">
            <v>0.4</v>
          </cell>
          <cell r="AB16">
            <v>0.19999999999999996</v>
          </cell>
          <cell r="AC16">
            <v>9.9999999999999978E-2</v>
          </cell>
          <cell r="AD16">
            <v>1.5000000000000002</v>
          </cell>
          <cell r="AE16">
            <v>0.1</v>
          </cell>
          <cell r="AF16">
            <v>2.1999999999999997</v>
          </cell>
          <cell r="AG16">
            <v>1.7000000000000002</v>
          </cell>
          <cell r="AH16">
            <v>-0.29999999999999982</v>
          </cell>
        </row>
        <row r="17">
          <cell r="A17" t="str">
            <v>Financial expenses</v>
          </cell>
          <cell r="B17" t="str">
            <v>Finansiella kostnader</v>
          </cell>
          <cell r="C17">
            <v>4</v>
          </cell>
          <cell r="D17">
            <v>-4.5</v>
          </cell>
          <cell r="E17">
            <v>-6</v>
          </cell>
          <cell r="F17">
            <v>-8.1</v>
          </cell>
          <cell r="G17">
            <v>-5</v>
          </cell>
          <cell r="H17">
            <v>-12.2</v>
          </cell>
          <cell r="K17">
            <v>-3.6</v>
          </cell>
          <cell r="L17">
            <v>-8.1</v>
          </cell>
          <cell r="M17">
            <v>-7.4</v>
          </cell>
          <cell r="N17">
            <v>-9.1</v>
          </cell>
          <cell r="O17">
            <v>1</v>
          </cell>
          <cell r="P17">
            <v>-5</v>
          </cell>
          <cell r="Q17">
            <v>-7.4</v>
          </cell>
          <cell r="R17">
            <v>-9.1</v>
          </cell>
          <cell r="S17">
            <v>-9.1</v>
          </cell>
          <cell r="T17">
            <v>-13.8</v>
          </cell>
          <cell r="U17">
            <v>-25.5</v>
          </cell>
          <cell r="V17">
            <v>-31.6</v>
          </cell>
          <cell r="W17">
            <v>-3.6</v>
          </cell>
          <cell r="X17">
            <v>-4.5</v>
          </cell>
          <cell r="Y17">
            <v>0.69999999999999929</v>
          </cell>
          <cell r="Z17">
            <v>-1.6999999999999993</v>
          </cell>
          <cell r="AA17">
            <v>1</v>
          </cell>
          <cell r="AB17">
            <v>-6</v>
          </cell>
          <cell r="AC17">
            <v>-2.4000000000000004</v>
          </cell>
          <cell r="AD17">
            <v>-1.6999999999999993</v>
          </cell>
          <cell r="AE17">
            <v>-9.1</v>
          </cell>
          <cell r="AF17">
            <v>-4.7000000000000011</v>
          </cell>
          <cell r="AG17">
            <v>-11.7</v>
          </cell>
          <cell r="AH17">
            <v>-6.1000000000000014</v>
          </cell>
        </row>
        <row r="18">
          <cell r="A18" t="str">
            <v>Net financial income/expense</v>
          </cell>
          <cell r="B18" t="str">
            <v>Finansiella poster</v>
          </cell>
          <cell r="D18">
            <v>-4.3</v>
          </cell>
          <cell r="E18">
            <v>-5.8</v>
          </cell>
          <cell r="F18">
            <v>-7.5</v>
          </cell>
          <cell r="G18">
            <v>-4.4000000000000004</v>
          </cell>
          <cell r="H18">
            <v>-10</v>
          </cell>
          <cell r="K18">
            <v>-3.2</v>
          </cell>
          <cell r="L18">
            <v>-7.5</v>
          </cell>
          <cell r="M18">
            <v>-6.7</v>
          </cell>
          <cell r="N18">
            <v>-6.8999999999999995</v>
          </cell>
          <cell r="O18">
            <v>1.4</v>
          </cell>
          <cell r="P18">
            <v>-4.4000000000000004</v>
          </cell>
          <cell r="Q18">
            <v>-6.7</v>
          </cell>
          <cell r="R18">
            <v>-6.8999999999999995</v>
          </cell>
          <cell r="S18">
            <v>-9</v>
          </cell>
          <cell r="T18">
            <v>-11.5</v>
          </cell>
          <cell r="U18">
            <v>-21.5</v>
          </cell>
          <cell r="V18">
            <v>-27.900000000000002</v>
          </cell>
          <cell r="W18">
            <v>-3.2</v>
          </cell>
          <cell r="X18">
            <v>-4.3</v>
          </cell>
          <cell r="Y18">
            <v>0.79999999999999927</v>
          </cell>
          <cell r="Z18">
            <v>-0.19999999999999907</v>
          </cell>
          <cell r="AA18">
            <v>1.4</v>
          </cell>
          <cell r="AB18">
            <v>-5.8</v>
          </cell>
          <cell r="AC18">
            <v>-2.3000000000000003</v>
          </cell>
          <cell r="AD18">
            <v>-0.19999999999999907</v>
          </cell>
          <cell r="AE18">
            <v>-9</v>
          </cell>
          <cell r="AF18">
            <v>-2.5000000000000013</v>
          </cell>
          <cell r="AG18">
            <v>-10</v>
          </cell>
          <cell r="AH18">
            <v>-6.4000000000000012</v>
          </cell>
        </row>
        <row r="20">
          <cell r="A20" t="str">
            <v>Income after financial items</v>
          </cell>
          <cell r="B20" t="str">
            <v>Resultat före skatt</v>
          </cell>
          <cell r="D20">
            <v>88.100000000000065</v>
          </cell>
          <cell r="E20">
            <v>34.599999999999852</v>
          </cell>
          <cell r="F20">
            <v>135.30000000000004</v>
          </cell>
          <cell r="G20">
            <v>93.499999999999915</v>
          </cell>
          <cell r="H20">
            <v>183.5</v>
          </cell>
          <cell r="K20">
            <v>47.199999999999982</v>
          </cell>
          <cell r="L20">
            <v>135.30000000000004</v>
          </cell>
          <cell r="M20">
            <v>120.3</v>
          </cell>
          <cell r="N20">
            <v>141.7000000000001</v>
          </cell>
          <cell r="O20">
            <v>58.900000000000063</v>
          </cell>
          <cell r="P20">
            <v>93.499999999999915</v>
          </cell>
          <cell r="Q20">
            <v>120.3</v>
          </cell>
          <cell r="R20">
            <v>141.7000000000001</v>
          </cell>
          <cell r="S20">
            <v>34.600000000000044</v>
          </cell>
          <cell r="T20">
            <v>87.000000000000099</v>
          </cell>
          <cell r="U20">
            <v>110.6999999999999</v>
          </cell>
          <cell r="V20">
            <v>132.90000000000015</v>
          </cell>
          <cell r="W20">
            <v>47.199999999999982</v>
          </cell>
          <cell r="X20">
            <v>88.100000000000065</v>
          </cell>
          <cell r="Y20">
            <v>-15.000000000000046</v>
          </cell>
          <cell r="Z20">
            <v>21.400000000000095</v>
          </cell>
          <cell r="AA20">
            <v>58.900000000000098</v>
          </cell>
          <cell r="AB20">
            <v>34.599999999999852</v>
          </cell>
          <cell r="AC20">
            <v>26.800000000000093</v>
          </cell>
          <cell r="AD20">
            <v>21.400000000000095</v>
          </cell>
          <cell r="AE20">
            <v>34.600000000000044</v>
          </cell>
          <cell r="AF20">
            <v>52.400000000000048</v>
          </cell>
          <cell r="AG20">
            <v>23.699999999999818</v>
          </cell>
          <cell r="AH20">
            <v>22.200000000000227</v>
          </cell>
        </row>
        <row r="22">
          <cell r="A22" t="str">
            <v>Income tax from continuing operations</v>
          </cell>
          <cell r="B22" t="str">
            <v>Inkomstskatt från kvarvarande verksamhet</v>
          </cell>
          <cell r="D22">
            <v>-17.5</v>
          </cell>
          <cell r="E22">
            <v>-9.0000000000000018</v>
          </cell>
          <cell r="F22">
            <v>-27.9</v>
          </cell>
          <cell r="G22">
            <v>-21.8</v>
          </cell>
          <cell r="H22">
            <v>-37.599999999999994</v>
          </cell>
          <cell r="K22">
            <v>-10.399999999999999</v>
          </cell>
          <cell r="L22">
            <v>-27.9</v>
          </cell>
          <cell r="M22">
            <v>-24.4</v>
          </cell>
          <cell r="N22">
            <v>-31.5</v>
          </cell>
          <cell r="O22">
            <v>-12.799999999999999</v>
          </cell>
          <cell r="P22">
            <v>-21.8</v>
          </cell>
          <cell r="Q22">
            <v>-24.4</v>
          </cell>
          <cell r="R22">
            <v>-31.5</v>
          </cell>
          <cell r="S22">
            <v>-7.1</v>
          </cell>
          <cell r="T22">
            <v>-17.899999999999999</v>
          </cell>
          <cell r="U22">
            <v>-22.8</v>
          </cell>
          <cell r="V22">
            <v>-32.799999999999997</v>
          </cell>
          <cell r="W22">
            <v>-10.399999999999999</v>
          </cell>
          <cell r="X22">
            <v>-17.5</v>
          </cell>
          <cell r="Y22">
            <v>3.5</v>
          </cell>
          <cell r="Z22">
            <v>-7.1000000000000014</v>
          </cell>
          <cell r="AA22">
            <v>-12.799999999999999</v>
          </cell>
          <cell r="AB22">
            <v>-9.0000000000000018</v>
          </cell>
          <cell r="AC22">
            <v>-2.5999999999999979</v>
          </cell>
          <cell r="AD22">
            <v>-7.1000000000000014</v>
          </cell>
          <cell r="AE22">
            <v>-7.1</v>
          </cell>
          <cell r="AF22">
            <v>-10.799999999999999</v>
          </cell>
          <cell r="AG22">
            <v>-4.9000000000000021</v>
          </cell>
          <cell r="AH22">
            <v>-9.9999999999999964</v>
          </cell>
        </row>
        <row r="23">
          <cell r="A23" t="str">
            <v>Profit for the period from continuing operations</v>
          </cell>
          <cell r="D23">
            <v>70.600000000000065</v>
          </cell>
          <cell r="E23">
            <v>25.599999999999852</v>
          </cell>
          <cell r="F23">
            <v>107.40000000000003</v>
          </cell>
          <cell r="G23">
            <v>71.699999999999918</v>
          </cell>
          <cell r="H23">
            <v>145.9</v>
          </cell>
          <cell r="K23">
            <v>36.799999999999983</v>
          </cell>
          <cell r="L23">
            <v>107.40000000000003</v>
          </cell>
          <cell r="M23">
            <v>95.9</v>
          </cell>
          <cell r="N23">
            <v>110.2000000000001</v>
          </cell>
          <cell r="O23">
            <v>46.100000000000065</v>
          </cell>
          <cell r="P23">
            <v>71.699999999999918</v>
          </cell>
          <cell r="Q23">
            <v>95.9</v>
          </cell>
          <cell r="R23">
            <v>110.2000000000001</v>
          </cell>
          <cell r="S23">
            <v>27.500000000000043</v>
          </cell>
          <cell r="T23">
            <v>69.100000000000108</v>
          </cell>
          <cell r="U23">
            <v>87.899999999999906</v>
          </cell>
          <cell r="V23">
            <v>100.10000000000015</v>
          </cell>
          <cell r="W23">
            <v>36.799999999999983</v>
          </cell>
          <cell r="X23">
            <v>70.600000000000065</v>
          </cell>
          <cell r="Y23">
            <v>-11.500000000000046</v>
          </cell>
          <cell r="Z23">
            <v>14.300000000000093</v>
          </cell>
          <cell r="AA23">
            <v>46.100000000000101</v>
          </cell>
          <cell r="AB23">
            <v>25.599999999999852</v>
          </cell>
          <cell r="AC23">
            <v>24.200000000000095</v>
          </cell>
          <cell r="AD23">
            <v>14.300000000000093</v>
          </cell>
          <cell r="AE23"/>
          <cell r="AF23"/>
          <cell r="AG23"/>
          <cell r="AH23"/>
        </row>
        <row r="24">
          <cell r="A24" t="str">
            <v>Loss for the period from discontinued operations</v>
          </cell>
          <cell r="B24" t="str">
            <v>Periodens resultat från avvecklad verksamhet före skatt</v>
          </cell>
          <cell r="D24">
            <v>-0.79999999999999982</v>
          </cell>
          <cell r="E24">
            <v>-9.2999999999999989</v>
          </cell>
          <cell r="F24">
            <v>-4.3</v>
          </cell>
          <cell r="G24">
            <v>-12.7</v>
          </cell>
          <cell r="H24">
            <v>-31.6</v>
          </cell>
          <cell r="K24">
            <v>-3.5</v>
          </cell>
          <cell r="L24">
            <v>-4.3</v>
          </cell>
          <cell r="M24">
            <v>-20.6</v>
          </cell>
          <cell r="N24">
            <v>-40</v>
          </cell>
          <cell r="O24">
            <v>-3.4</v>
          </cell>
          <cell r="P24">
            <v>-12.7</v>
          </cell>
          <cell r="Q24">
            <v>-20.6</v>
          </cell>
          <cell r="R24">
            <v>-40</v>
          </cell>
          <cell r="S24"/>
          <cell r="T24"/>
          <cell r="U24"/>
          <cell r="V24"/>
          <cell r="W24">
            <v>-3.5</v>
          </cell>
          <cell r="X24">
            <v>-0.79999999999999982</v>
          </cell>
          <cell r="Y24">
            <v>-16.3</v>
          </cell>
          <cell r="Z24">
            <v>-19.399999999999999</v>
          </cell>
          <cell r="AA24">
            <v>-3.4</v>
          </cell>
          <cell r="AB24">
            <v>-9.2999999999999989</v>
          </cell>
          <cell r="AC24">
            <v>-7.9000000000000021</v>
          </cell>
          <cell r="AD24">
            <v>-19.399999999999999</v>
          </cell>
          <cell r="AE24"/>
          <cell r="AF24"/>
          <cell r="AG24"/>
          <cell r="AH24"/>
        </row>
        <row r="25">
          <cell r="A25" t="str">
            <v>Income tax from discontinued operations</v>
          </cell>
          <cell r="B25" t="str">
            <v>Inkomstskatt avvecklad verksamhet</v>
          </cell>
          <cell r="D25">
            <v>0.20000000000000007</v>
          </cell>
          <cell r="E25">
            <v>1.8</v>
          </cell>
          <cell r="F25">
            <v>0.9</v>
          </cell>
          <cell r="G25">
            <v>2.5</v>
          </cell>
          <cell r="K25">
            <v>0.7</v>
          </cell>
          <cell r="L25">
            <v>0.9</v>
          </cell>
          <cell r="M25">
            <v>3.9</v>
          </cell>
          <cell r="N25">
            <v>7.9</v>
          </cell>
          <cell r="O25">
            <v>0.7</v>
          </cell>
          <cell r="P25">
            <v>2.5</v>
          </cell>
          <cell r="Q25">
            <v>3.9</v>
          </cell>
          <cell r="R25">
            <v>7.9</v>
          </cell>
          <cell r="S25"/>
          <cell r="T25"/>
          <cell r="U25"/>
          <cell r="V25"/>
          <cell r="W25">
            <v>0.7</v>
          </cell>
          <cell r="X25">
            <v>0.20000000000000007</v>
          </cell>
          <cell r="Y25">
            <v>3</v>
          </cell>
          <cell r="Z25">
            <v>4</v>
          </cell>
          <cell r="AA25">
            <v>0.7</v>
          </cell>
          <cell r="AB25">
            <v>1.8</v>
          </cell>
          <cell r="AC25">
            <v>1.4</v>
          </cell>
          <cell r="AD25">
            <v>4</v>
          </cell>
          <cell r="AE25"/>
          <cell r="AF25"/>
          <cell r="AG25"/>
          <cell r="AH25"/>
        </row>
        <row r="26">
          <cell r="A26" t="str">
            <v>Loss for the period from discontinued operations</v>
          </cell>
          <cell r="D26">
            <v>-0.60000000000000009</v>
          </cell>
          <cell r="E26">
            <v>-7.4999999999999991</v>
          </cell>
          <cell r="F26">
            <v>-3.4</v>
          </cell>
          <cell r="G26">
            <v>-10.199999999999999</v>
          </cell>
          <cell r="K26">
            <v>-2.8</v>
          </cell>
          <cell r="L26">
            <v>-3.4</v>
          </cell>
          <cell r="M26">
            <v>-16.700000000000003</v>
          </cell>
          <cell r="N26">
            <v>-32.1</v>
          </cell>
          <cell r="O26">
            <v>-2.7</v>
          </cell>
          <cell r="P26">
            <v>-10.199999999999999</v>
          </cell>
          <cell r="Q26">
            <v>-16.700000000000003</v>
          </cell>
          <cell r="R26">
            <v>-32.1</v>
          </cell>
          <cell r="S26"/>
          <cell r="T26"/>
          <cell r="U26"/>
          <cell r="V26"/>
          <cell r="W26">
            <v>-2.8</v>
          </cell>
          <cell r="X26">
            <v>-0.60000000000000009</v>
          </cell>
          <cell r="Y26">
            <v>-13.300000000000002</v>
          </cell>
          <cell r="Z26">
            <v>-15.399999999999999</v>
          </cell>
          <cell r="AA26">
            <v>-2.7</v>
          </cell>
          <cell r="AB26">
            <v>-7.4999999999999991</v>
          </cell>
          <cell r="AC26">
            <v>-6.5000000000000036</v>
          </cell>
          <cell r="AD26">
            <v>-15.399999999999999</v>
          </cell>
          <cell r="AE26"/>
          <cell r="AF26"/>
          <cell r="AG26"/>
          <cell r="AH26"/>
        </row>
        <row r="27">
          <cell r="A27" t="str">
            <v>Net income for the period</v>
          </cell>
          <cell r="D27">
            <v>70.000000000000071</v>
          </cell>
          <cell r="E27">
            <v>18.099999999999856</v>
          </cell>
          <cell r="F27">
            <v>104.00000000000004</v>
          </cell>
          <cell r="G27">
            <v>61.499999999999915</v>
          </cell>
          <cell r="H27">
            <v>120.60000000000001</v>
          </cell>
          <cell r="K27">
            <v>33.999999999999986</v>
          </cell>
          <cell r="L27">
            <v>104.00000000000004</v>
          </cell>
          <cell r="M27">
            <v>79.200000000000017</v>
          </cell>
          <cell r="N27">
            <v>78.100000000000108</v>
          </cell>
          <cell r="O27">
            <v>43.40000000000007</v>
          </cell>
          <cell r="P27">
            <v>61.499999999999915</v>
          </cell>
          <cell r="Q27">
            <v>79.200000000000017</v>
          </cell>
          <cell r="R27">
            <v>78.100000000000108</v>
          </cell>
          <cell r="S27">
            <v>27.500000000000043</v>
          </cell>
          <cell r="T27">
            <v>69.100000000000094</v>
          </cell>
          <cell r="U27">
            <v>87.899999999999906</v>
          </cell>
          <cell r="V27">
            <v>100.10000000000015</v>
          </cell>
          <cell r="W27">
            <v>33.999999999999986</v>
          </cell>
          <cell r="X27">
            <v>70.000000000000071</v>
          </cell>
          <cell r="Y27">
            <v>-24.800000000000047</v>
          </cell>
          <cell r="Z27">
            <v>-1.0999999999999055</v>
          </cell>
          <cell r="AA27">
            <v>43.400000000000105</v>
          </cell>
          <cell r="AB27">
            <v>18.099999999999856</v>
          </cell>
          <cell r="AC27">
            <v>17.700000000000092</v>
          </cell>
          <cell r="AD27">
            <v>-1.0999999999999055</v>
          </cell>
          <cell r="AE27">
            <v>27.500000000000043</v>
          </cell>
          <cell r="AF27">
            <v>41.600000000000051</v>
          </cell>
          <cell r="AG27">
            <v>18.799999999999816</v>
          </cell>
          <cell r="AH27">
            <v>12.20000000000023</v>
          </cell>
        </row>
        <row r="28">
          <cell r="A28" t="str">
            <v>of which attributable to:</v>
          </cell>
          <cell r="B28" t="str">
            <v>Varav hänförligt till:</v>
          </cell>
        </row>
        <row r="29">
          <cell r="A29" t="str">
            <v>Owners of the parent</v>
          </cell>
          <cell r="B29" t="str">
            <v>Moderbolagets ägare</v>
          </cell>
          <cell r="D29">
            <v>68.500000000000057</v>
          </cell>
          <cell r="E29">
            <v>16.699999999999854</v>
          </cell>
          <cell r="F29">
            <v>101.40000000000005</v>
          </cell>
          <cell r="G29">
            <v>58.499999999999915</v>
          </cell>
          <cell r="H29">
            <v>116.40000000000025</v>
          </cell>
          <cell r="K29">
            <v>32.899999999999984</v>
          </cell>
          <cell r="L29">
            <v>101.40000000000005</v>
          </cell>
          <cell r="M29">
            <v>75.40000000000002</v>
          </cell>
          <cell r="N29">
            <v>73.500000000000114</v>
          </cell>
          <cell r="O29">
            <v>41.800000000000061</v>
          </cell>
          <cell r="P29">
            <v>58.499999999999915</v>
          </cell>
          <cell r="Q29">
            <v>75.40000000000002</v>
          </cell>
          <cell r="R29">
            <v>73.500000000000114</v>
          </cell>
          <cell r="S29">
            <v>25.400000000000041</v>
          </cell>
          <cell r="T29">
            <v>64.800000000000111</v>
          </cell>
          <cell r="U29">
            <v>81.499999999999901</v>
          </cell>
          <cell r="V29">
            <v>93.700000000000145</v>
          </cell>
          <cell r="W29">
            <v>32.899999999999984</v>
          </cell>
          <cell r="X29">
            <v>68.500000000000057</v>
          </cell>
          <cell r="Y29">
            <v>-26.000000000000028</v>
          </cell>
          <cell r="Z29">
            <v>-1.8999999999999062</v>
          </cell>
          <cell r="AA29">
            <v>41.800000000000061</v>
          </cell>
          <cell r="AB29">
            <v>16.699999999999854</v>
          </cell>
          <cell r="AC29">
            <v>16.900000000000105</v>
          </cell>
          <cell r="AD29">
            <v>-1.8999999999999062</v>
          </cell>
          <cell r="AE29">
            <v>25.400000000000041</v>
          </cell>
          <cell r="AF29">
            <v>39.40000000000007</v>
          </cell>
          <cell r="AG29">
            <v>16.69999999999979</v>
          </cell>
          <cell r="AH29">
            <v>12.200000000000244</v>
          </cell>
        </row>
        <row r="30">
          <cell r="A30" t="str">
            <v>Non-controlling interests</v>
          </cell>
          <cell r="B30" t="str">
            <v>Innehav utan bestämmande inflytande</v>
          </cell>
          <cell r="D30">
            <v>1.5</v>
          </cell>
          <cell r="E30">
            <v>1.4</v>
          </cell>
          <cell r="F30">
            <v>2.6</v>
          </cell>
          <cell r="G30">
            <v>3</v>
          </cell>
          <cell r="H30">
            <v>4.1999999999999993</v>
          </cell>
          <cell r="K30">
            <v>1.1000000000000001</v>
          </cell>
          <cell r="L30">
            <v>2.6</v>
          </cell>
          <cell r="M30">
            <v>3.8</v>
          </cell>
          <cell r="N30">
            <v>4.5999999999999996</v>
          </cell>
          <cell r="O30">
            <v>1.6</v>
          </cell>
          <cell r="P30">
            <v>3</v>
          </cell>
          <cell r="Q30">
            <v>3.8</v>
          </cell>
          <cell r="R30">
            <v>4.5999999999999996</v>
          </cell>
          <cell r="S30">
            <v>2.1</v>
          </cell>
          <cell r="T30">
            <v>4.3</v>
          </cell>
          <cell r="U30">
            <v>6.4</v>
          </cell>
          <cell r="V30">
            <v>6.4</v>
          </cell>
          <cell r="W30">
            <v>1.1000000000000001</v>
          </cell>
          <cell r="X30">
            <v>1.5</v>
          </cell>
          <cell r="Y30">
            <v>1.1999999999999997</v>
          </cell>
          <cell r="Z30">
            <v>0.79999999999999982</v>
          </cell>
          <cell r="AA30">
            <v>1.6</v>
          </cell>
          <cell r="AB30">
            <v>1.4</v>
          </cell>
          <cell r="AC30">
            <v>0.79999999999999982</v>
          </cell>
          <cell r="AD30">
            <v>0.79999999999999982</v>
          </cell>
          <cell r="AE30">
            <v>2.1</v>
          </cell>
          <cell r="AF30">
            <v>2.1999999999999997</v>
          </cell>
          <cell r="AG30">
            <v>2.1000000000000005</v>
          </cell>
          <cell r="AH30">
            <v>0</v>
          </cell>
        </row>
        <row r="32">
          <cell r="A32" t="str">
            <v>Earnings per share (before and after dilution), SEK</v>
          </cell>
          <cell r="B32" t="str">
            <v>Resultat per aktie (ingen utspädning finns)</v>
          </cell>
        </row>
        <row r="33">
          <cell r="A33" t="str">
            <v>-from continuing operations, SEK</v>
          </cell>
          <cell r="D33">
            <v>9.34</v>
          </cell>
          <cell r="E33">
            <v>3.2800000000000011</v>
          </cell>
          <cell r="F33">
            <v>14.16</v>
          </cell>
          <cell r="G33">
            <v>9.3000000000000007</v>
          </cell>
          <cell r="H33">
            <v>19.13</v>
          </cell>
          <cell r="K33">
            <v>4.82</v>
          </cell>
          <cell r="L33">
            <v>14.16</v>
          </cell>
          <cell r="M33">
            <v>12.42</v>
          </cell>
          <cell r="N33">
            <v>14.27</v>
          </cell>
          <cell r="O33">
            <v>6.02</v>
          </cell>
          <cell r="P33">
            <v>9.3000000000000007</v>
          </cell>
          <cell r="Q33">
            <v>12.42</v>
          </cell>
          <cell r="R33">
            <v>14.27</v>
          </cell>
          <cell r="S33">
            <v>3.43</v>
          </cell>
          <cell r="T33">
            <v>8.76</v>
          </cell>
          <cell r="U33">
            <v>11</v>
          </cell>
          <cell r="V33">
            <v>12.67</v>
          </cell>
          <cell r="W33">
            <v>4.82</v>
          </cell>
          <cell r="X33">
            <v>9.34</v>
          </cell>
          <cell r="Y33">
            <v>-1.7400000000000002</v>
          </cell>
          <cell r="Z33">
            <v>1.8499999999999996</v>
          </cell>
          <cell r="AA33">
            <v>6.02</v>
          </cell>
          <cell r="AB33">
            <v>3.2800000000000011</v>
          </cell>
          <cell r="AC33">
            <v>3.1199999999999992</v>
          </cell>
          <cell r="AD33">
            <v>1.8499999999999996</v>
          </cell>
          <cell r="AE33">
            <v>3.43</v>
          </cell>
          <cell r="AF33">
            <v>5.32</v>
          </cell>
          <cell r="AG33">
            <v>2.25</v>
          </cell>
          <cell r="AH33">
            <v>1.66</v>
          </cell>
        </row>
        <row r="34">
          <cell r="A34" t="str">
            <v>-from discontinued operations, SEK</v>
          </cell>
          <cell r="D34">
            <v>-8.9999999999999858E-2</v>
          </cell>
          <cell r="E34">
            <v>-1.0200000000000014</v>
          </cell>
          <cell r="F34">
            <v>-0.46000000000000085</v>
          </cell>
          <cell r="G34">
            <v>-1.3900000000000006</v>
          </cell>
          <cell r="H34">
            <v>-3.4099999999999984</v>
          </cell>
          <cell r="K34">
            <v>-0.37000000000000011</v>
          </cell>
          <cell r="L34">
            <v>-0.46000000000000085</v>
          </cell>
          <cell r="M34">
            <v>-2.2400000000000002</v>
          </cell>
          <cell r="N34">
            <v>-4.33</v>
          </cell>
          <cell r="O34">
            <v>-0.36999999999999922</v>
          </cell>
          <cell r="P34">
            <v>-1.3900000000000006</v>
          </cell>
          <cell r="Q34">
            <v>-2.2400000000000002</v>
          </cell>
          <cell r="R34">
            <v>-4.33</v>
          </cell>
          <cell r="S34">
            <v>0</v>
          </cell>
          <cell r="T34">
            <v>0</v>
          </cell>
          <cell r="U34">
            <v>0</v>
          </cell>
          <cell r="V34">
            <v>0</v>
          </cell>
          <cell r="W34">
            <v>-0.37000000000000011</v>
          </cell>
          <cell r="X34">
            <v>-8.9999999999999858E-2</v>
          </cell>
          <cell r="Y34">
            <v>-1.7799999999999994</v>
          </cell>
          <cell r="Z34">
            <v>-2.09</v>
          </cell>
          <cell r="AA34">
            <v>-0.36999999999999922</v>
          </cell>
          <cell r="AB34">
            <v>-1.0200000000000014</v>
          </cell>
          <cell r="AC34">
            <v>-0.84999999999999964</v>
          </cell>
          <cell r="AD34">
            <v>-2.09</v>
          </cell>
          <cell r="AE34">
            <v>0</v>
          </cell>
          <cell r="AF34">
            <v>0</v>
          </cell>
          <cell r="AG34">
            <v>0</v>
          </cell>
          <cell r="AH34">
            <v>0</v>
          </cell>
        </row>
        <row r="35">
          <cell r="A35" t="str">
            <v>Total</v>
          </cell>
          <cell r="B35" t="str">
            <v>Totalt</v>
          </cell>
          <cell r="D35">
            <v>9.25</v>
          </cell>
          <cell r="E35">
            <v>2.2599999999999998</v>
          </cell>
          <cell r="F35">
            <v>13.7</v>
          </cell>
          <cell r="G35">
            <v>7.91</v>
          </cell>
          <cell r="H35">
            <v>15.72</v>
          </cell>
          <cell r="K35">
            <v>4.45</v>
          </cell>
          <cell r="L35">
            <v>13.7</v>
          </cell>
          <cell r="M35">
            <v>10.18</v>
          </cell>
          <cell r="N35">
            <v>9.94</v>
          </cell>
          <cell r="O35">
            <v>5.65</v>
          </cell>
          <cell r="P35">
            <v>7.91</v>
          </cell>
          <cell r="Q35">
            <v>10.18</v>
          </cell>
          <cell r="R35">
            <v>9.94</v>
          </cell>
          <cell r="S35">
            <v>3.43</v>
          </cell>
          <cell r="T35">
            <v>8.76</v>
          </cell>
          <cell r="U35">
            <v>11</v>
          </cell>
          <cell r="V35">
            <v>12.67</v>
          </cell>
          <cell r="W35">
            <v>4.45</v>
          </cell>
          <cell r="X35">
            <v>9.25</v>
          </cell>
          <cell r="Y35">
            <v>-3.5199999999999996</v>
          </cell>
          <cell r="Z35">
            <v>-0.24000000000000021</v>
          </cell>
          <cell r="AA35">
            <v>5.65</v>
          </cell>
          <cell r="AB35">
            <v>2.2599999999999998</v>
          </cell>
          <cell r="AC35">
            <v>2.2699999999999996</v>
          </cell>
          <cell r="AD35">
            <v>-0.24000000000000021</v>
          </cell>
          <cell r="AE35">
            <v>3.43</v>
          </cell>
          <cell r="AF35">
            <v>5.32</v>
          </cell>
          <cell r="AG35">
            <v>2.25</v>
          </cell>
          <cell r="AH35">
            <v>1.66</v>
          </cell>
        </row>
        <row r="37">
          <cell r="A37" t="str">
            <v>Other comprehensive income</v>
          </cell>
          <cell r="B37" t="str">
            <v>Övrigt totalresultat</v>
          </cell>
        </row>
        <row r="38">
          <cell r="A38" t="str">
            <v>Net income for the period</v>
          </cell>
          <cell r="B38" t="str">
            <v>Periodens resultat</v>
          </cell>
          <cell r="D38">
            <v>70.000000000000057</v>
          </cell>
          <cell r="E38">
            <v>18.099999999999852</v>
          </cell>
          <cell r="F38">
            <v>104.00000000000004</v>
          </cell>
          <cell r="G38">
            <v>61.499999999999915</v>
          </cell>
          <cell r="H38">
            <v>120.60000000000024</v>
          </cell>
          <cell r="K38">
            <v>33.999999999999986</v>
          </cell>
          <cell r="L38">
            <v>104.00000000000004</v>
          </cell>
          <cell r="M38">
            <v>79.200000000000017</v>
          </cell>
          <cell r="N38">
            <v>78.100000000000108</v>
          </cell>
          <cell r="O38">
            <v>43.400000000000063</v>
          </cell>
          <cell r="P38">
            <v>61.499999999999915</v>
          </cell>
          <cell r="Q38">
            <v>79.200000000000017</v>
          </cell>
          <cell r="R38">
            <v>78.100000000000108</v>
          </cell>
          <cell r="S38">
            <v>27.500000000000043</v>
          </cell>
          <cell r="T38">
            <v>69.100000000000108</v>
          </cell>
          <cell r="U38">
            <v>87.899999999999906</v>
          </cell>
          <cell r="V38">
            <v>100.10000000000015</v>
          </cell>
          <cell r="W38">
            <v>33.999999999999986</v>
          </cell>
          <cell r="X38">
            <v>70.000000000000057</v>
          </cell>
          <cell r="Y38">
            <v>-24.800000000000026</v>
          </cell>
          <cell r="Z38">
            <v>-1.0999999999999091</v>
          </cell>
          <cell r="AA38">
            <v>43.400000000000063</v>
          </cell>
          <cell r="AB38">
            <v>18.099999999999852</v>
          </cell>
          <cell r="AC38">
            <v>17.700000000000102</v>
          </cell>
          <cell r="AD38">
            <v>-1.0999999999999091</v>
          </cell>
          <cell r="AE38">
            <v>27.500000000000043</v>
          </cell>
          <cell r="AF38">
            <v>41.600000000000065</v>
          </cell>
          <cell r="AG38">
            <v>18.799999999999798</v>
          </cell>
          <cell r="AH38">
            <v>12.200000000000244</v>
          </cell>
        </row>
        <row r="39">
          <cell r="A39" t="str">
            <v>Hedging reserve</v>
          </cell>
          <cell r="B39" t="str">
            <v>Säkringsreserv</v>
          </cell>
          <cell r="D39">
            <v>-2.4999999999999996</v>
          </cell>
          <cell r="E39">
            <v>-7.9</v>
          </cell>
          <cell r="F39">
            <v>-6.1</v>
          </cell>
          <cell r="G39">
            <v>4.5</v>
          </cell>
          <cell r="H39">
            <v>-4</v>
          </cell>
          <cell r="K39">
            <v>-3.6</v>
          </cell>
          <cell r="L39">
            <v>-6.1</v>
          </cell>
          <cell r="M39">
            <v>5.3</v>
          </cell>
          <cell r="N39">
            <v>6.6</v>
          </cell>
          <cell r="O39">
            <v>12.4</v>
          </cell>
          <cell r="P39">
            <v>4.5</v>
          </cell>
          <cell r="Q39">
            <v>5.3</v>
          </cell>
          <cell r="R39">
            <v>6.6</v>
          </cell>
          <cell r="S39">
            <v>-1.8</v>
          </cell>
          <cell r="T39">
            <v>1.4</v>
          </cell>
          <cell r="U39">
            <v>7.5</v>
          </cell>
          <cell r="V39">
            <v>3.3</v>
          </cell>
          <cell r="W39">
            <v>-3.6</v>
          </cell>
          <cell r="X39">
            <v>-2.4999999999999996</v>
          </cell>
          <cell r="Y39">
            <v>11.399999999999999</v>
          </cell>
          <cell r="Z39">
            <v>1.2999999999999998</v>
          </cell>
          <cell r="AA39">
            <v>12.4</v>
          </cell>
          <cell r="AB39">
            <v>-7.9</v>
          </cell>
          <cell r="AC39">
            <v>0.79999999999999982</v>
          </cell>
          <cell r="AD39">
            <v>1.2999999999999998</v>
          </cell>
          <cell r="AE39">
            <v>-1.8</v>
          </cell>
          <cell r="AF39">
            <v>3.2</v>
          </cell>
          <cell r="AG39">
            <v>6.1</v>
          </cell>
          <cell r="AH39">
            <v>-4.2</v>
          </cell>
        </row>
        <row r="40">
          <cell r="A40" t="str">
            <v>Translation differences</v>
          </cell>
          <cell r="B40" t="str">
            <v>Omräkningsreserv</v>
          </cell>
          <cell r="D40">
            <v>0.1</v>
          </cell>
          <cell r="E40">
            <v>9.9999999999999978E-2</v>
          </cell>
          <cell r="F40">
            <v>0.1</v>
          </cell>
          <cell r="G40">
            <v>-0.2</v>
          </cell>
          <cell r="H40">
            <v>-0.19999999999999998</v>
          </cell>
          <cell r="K40">
            <v>0</v>
          </cell>
          <cell r="L40">
            <v>0.1</v>
          </cell>
          <cell r="M40">
            <v>-0.1</v>
          </cell>
          <cell r="N40">
            <v>-0.5</v>
          </cell>
          <cell r="O40">
            <v>-0.3</v>
          </cell>
          <cell r="P40">
            <v>-0.2</v>
          </cell>
          <cell r="Q40">
            <v>-0.1</v>
          </cell>
          <cell r="R40">
            <v>-0.5</v>
          </cell>
          <cell r="S40">
            <v>0.1</v>
          </cell>
          <cell r="T40">
            <v>0.1</v>
          </cell>
          <cell r="U40">
            <v>0</v>
          </cell>
          <cell r="V40">
            <v>0.2</v>
          </cell>
          <cell r="W40">
            <v>0</v>
          </cell>
          <cell r="X40">
            <v>0.1</v>
          </cell>
          <cell r="Y40">
            <v>-0.2</v>
          </cell>
          <cell r="Z40">
            <v>-0.4</v>
          </cell>
          <cell r="AA40">
            <v>-0.3</v>
          </cell>
          <cell r="AB40">
            <v>9.9999999999999978E-2</v>
          </cell>
          <cell r="AC40">
            <v>0.1</v>
          </cell>
          <cell r="AD40">
            <v>-0.4</v>
          </cell>
          <cell r="AE40">
            <v>0.1</v>
          </cell>
          <cell r="AF40">
            <v>0</v>
          </cell>
          <cell r="AG40">
            <v>-0.1</v>
          </cell>
          <cell r="AH40">
            <v>0.2</v>
          </cell>
        </row>
        <row r="41">
          <cell r="A41" t="str">
            <v xml:space="preserve">Deferred tax on the above items </v>
          </cell>
          <cell r="B41" t="str">
            <v>Uppskjuten skatt på ovanstående</v>
          </cell>
          <cell r="D41">
            <v>0.60000000000000009</v>
          </cell>
          <cell r="E41">
            <v>1.6</v>
          </cell>
          <cell r="F41">
            <v>1.3</v>
          </cell>
          <cell r="G41">
            <v>-0.9</v>
          </cell>
          <cell r="H41">
            <v>0.80000000000000016</v>
          </cell>
          <cell r="K41">
            <v>0.7</v>
          </cell>
          <cell r="L41">
            <v>1.3</v>
          </cell>
          <cell r="M41">
            <v>-1.1000000000000001</v>
          </cell>
          <cell r="N41">
            <v>-1.4</v>
          </cell>
          <cell r="O41">
            <v>-2.5</v>
          </cell>
          <cell r="P41">
            <v>-0.9</v>
          </cell>
          <cell r="Q41">
            <v>-1.1000000000000001</v>
          </cell>
          <cell r="R41">
            <v>-1.4</v>
          </cell>
          <cell r="S41">
            <v>0.4</v>
          </cell>
          <cell r="T41">
            <v>-0.3</v>
          </cell>
          <cell r="U41">
            <v>-1.5</v>
          </cell>
          <cell r="V41">
            <v>-0.7</v>
          </cell>
          <cell r="W41">
            <v>0.7</v>
          </cell>
          <cell r="X41">
            <v>0.60000000000000009</v>
          </cell>
          <cell r="Y41">
            <v>-2.4000000000000004</v>
          </cell>
          <cell r="Z41">
            <v>-0.29999999999999982</v>
          </cell>
          <cell r="AA41">
            <v>-2.5</v>
          </cell>
          <cell r="AB41">
            <v>1.6</v>
          </cell>
          <cell r="AC41">
            <v>-0.20000000000000007</v>
          </cell>
          <cell r="AD41">
            <v>-0.29999999999999982</v>
          </cell>
          <cell r="AE41">
            <v>0.4</v>
          </cell>
          <cell r="AF41">
            <v>-0.7</v>
          </cell>
          <cell r="AG41">
            <v>-1.2</v>
          </cell>
          <cell r="AH41">
            <v>0.8</v>
          </cell>
        </row>
        <row r="42">
          <cell r="A42" t="str">
            <v>Total items that will subsequently be reclassified to net income:</v>
          </cell>
          <cell r="B42" t="str">
            <v>Summa poster som kommer att omklassificeras till nettoresultatet:</v>
          </cell>
          <cell r="D42">
            <v>-1.7999999999999994</v>
          </cell>
          <cell r="E42">
            <v>-6.2000000000000011</v>
          </cell>
          <cell r="F42">
            <v>-4.7</v>
          </cell>
          <cell r="G42">
            <v>3.4</v>
          </cell>
          <cell r="H42">
            <v>-3.4</v>
          </cell>
          <cell r="K42">
            <v>-2.9000000000000004</v>
          </cell>
          <cell r="L42">
            <v>-4.7</v>
          </cell>
          <cell r="M42">
            <v>4.0999999999999996</v>
          </cell>
          <cell r="N42">
            <v>4.6999999999999993</v>
          </cell>
          <cell r="O42">
            <v>9.6</v>
          </cell>
          <cell r="P42">
            <v>3.4</v>
          </cell>
          <cell r="Q42">
            <v>4.0999999999999996</v>
          </cell>
          <cell r="R42">
            <v>4.6999999999999993</v>
          </cell>
          <cell r="S42">
            <v>-1.2999999999999998</v>
          </cell>
          <cell r="T42">
            <v>1.2</v>
          </cell>
          <cell r="U42">
            <v>6</v>
          </cell>
          <cell r="V42">
            <v>2.8</v>
          </cell>
        </row>
        <row r="43">
          <cell r="A43" t="str">
            <v>Revaluation of defined benefit pension obligation</v>
          </cell>
          <cell r="B43" t="str">
            <v>Omvärderingar av förmånsbestämda pensionsåtaganden</v>
          </cell>
          <cell r="D43">
            <v>0</v>
          </cell>
          <cell r="E43">
            <v>-0.1</v>
          </cell>
          <cell r="F43">
            <v>0</v>
          </cell>
          <cell r="G43">
            <v>-0.1</v>
          </cell>
          <cell r="H43">
            <v>0</v>
          </cell>
          <cell r="K43">
            <v>0</v>
          </cell>
          <cell r="L43">
            <v>0</v>
          </cell>
          <cell r="M43">
            <v>-0.1</v>
          </cell>
          <cell r="N43">
            <v>-0.1</v>
          </cell>
          <cell r="O43">
            <v>0</v>
          </cell>
          <cell r="P43">
            <v>-0.1</v>
          </cell>
          <cell r="Q43">
            <v>-0.1</v>
          </cell>
          <cell r="R43">
            <v>-0.1</v>
          </cell>
          <cell r="S43">
            <v>0.1</v>
          </cell>
          <cell r="T43">
            <v>0.1</v>
          </cell>
          <cell r="U43">
            <v>0.1</v>
          </cell>
          <cell r="V43">
            <v>-0.2</v>
          </cell>
          <cell r="W43">
            <v>0</v>
          </cell>
          <cell r="X43">
            <v>0</v>
          </cell>
          <cell r="Y43">
            <v>-0.1</v>
          </cell>
          <cell r="Z43">
            <v>0</v>
          </cell>
          <cell r="AA43">
            <v>0</v>
          </cell>
          <cell r="AB43">
            <v>-0.1</v>
          </cell>
          <cell r="AC43">
            <v>0</v>
          </cell>
          <cell r="AD43">
            <v>0</v>
          </cell>
          <cell r="AE43">
            <v>0.1</v>
          </cell>
          <cell r="AF43">
            <v>0</v>
          </cell>
          <cell r="AG43">
            <v>0</v>
          </cell>
          <cell r="AH43">
            <v>-0.30000000000000004</v>
          </cell>
        </row>
        <row r="44">
          <cell r="A44" t="str">
            <v>Total items that will subsequently not be reclassified to net income:</v>
          </cell>
          <cell r="B44" t="str">
            <v>Summa poster som inte kommer att omklassificeras till nettoresultatet:</v>
          </cell>
          <cell r="D44">
            <v>0</v>
          </cell>
          <cell r="E44">
            <v>-0.1</v>
          </cell>
          <cell r="F44">
            <v>0</v>
          </cell>
          <cell r="G44">
            <v>-0.1</v>
          </cell>
          <cell r="H44">
            <v>0</v>
          </cell>
          <cell r="K44">
            <v>0</v>
          </cell>
          <cell r="L44">
            <v>0</v>
          </cell>
          <cell r="M44">
            <v>-0.1</v>
          </cell>
          <cell r="N44">
            <v>-0.1</v>
          </cell>
          <cell r="O44">
            <v>0</v>
          </cell>
          <cell r="P44">
            <v>-0.1</v>
          </cell>
          <cell r="Q44">
            <v>-0.1</v>
          </cell>
          <cell r="R44">
            <v>-0.1</v>
          </cell>
          <cell r="S44">
            <v>0.1</v>
          </cell>
          <cell r="T44">
            <v>0.1</v>
          </cell>
          <cell r="U44">
            <v>0.1</v>
          </cell>
          <cell r="V44">
            <v>-0.2</v>
          </cell>
        </row>
        <row r="45">
          <cell r="A45" t="str">
            <v>Total other comprehensive income</v>
          </cell>
          <cell r="B45" t="str">
            <v>Summa övrigt totalresultat</v>
          </cell>
          <cell r="D45">
            <v>-1.7999999999999994</v>
          </cell>
          <cell r="E45">
            <v>-6.3000000000000007</v>
          </cell>
          <cell r="F45">
            <v>-4.7</v>
          </cell>
          <cell r="G45">
            <v>3.3</v>
          </cell>
          <cell r="H45">
            <v>-3.4</v>
          </cell>
          <cell r="K45">
            <v>-2.9000000000000004</v>
          </cell>
          <cell r="L45">
            <v>-4.7</v>
          </cell>
          <cell r="M45">
            <v>3.9999999999999996</v>
          </cell>
          <cell r="N45">
            <v>4.5999999999999996</v>
          </cell>
          <cell r="O45">
            <v>9.6</v>
          </cell>
          <cell r="P45">
            <v>3.3</v>
          </cell>
          <cell r="Q45">
            <v>3.9999999999999996</v>
          </cell>
          <cell r="R45">
            <v>4.5999999999999996</v>
          </cell>
          <cell r="S45">
            <v>-1.1999999999999997</v>
          </cell>
          <cell r="T45">
            <v>1.3</v>
          </cell>
          <cell r="U45">
            <v>6.1</v>
          </cell>
          <cell r="V45">
            <v>2.5999999999999996</v>
          </cell>
        </row>
        <row r="46">
          <cell r="A46" t="str">
            <v>Comprehensive income for the period</v>
          </cell>
          <cell r="B46" t="str">
            <v>Periodens totalresultat</v>
          </cell>
          <cell r="D46">
            <v>68.20000000000006</v>
          </cell>
          <cell r="E46">
            <v>11.799999999999851</v>
          </cell>
          <cell r="F46">
            <v>99.30000000000004</v>
          </cell>
          <cell r="G46">
            <v>64.799999999999926</v>
          </cell>
          <cell r="K46">
            <v>31.099999999999987</v>
          </cell>
          <cell r="L46">
            <v>99.30000000000004</v>
          </cell>
          <cell r="M46">
            <v>83.200000000000017</v>
          </cell>
          <cell r="N46">
            <v>82.700000000000117</v>
          </cell>
          <cell r="O46">
            <v>53.000000000000064</v>
          </cell>
          <cell r="P46">
            <v>64.799999999999926</v>
          </cell>
          <cell r="Q46">
            <v>83.200000000000017</v>
          </cell>
          <cell r="R46">
            <v>82.700000000000117</v>
          </cell>
          <cell r="S46">
            <v>26.300000000000043</v>
          </cell>
          <cell r="T46">
            <v>70.400000000000105</v>
          </cell>
          <cell r="U46">
            <v>93.999999999999901</v>
          </cell>
          <cell r="V46">
            <v>102.70000000000014</v>
          </cell>
        </row>
        <row r="47">
          <cell r="A47" t="str">
            <v>of which total comprehensive income for the period attributable to:</v>
          </cell>
          <cell r="B47" t="str">
            <v>Varav periodens totalresultat hänförligt till:</v>
          </cell>
        </row>
        <row r="48">
          <cell r="A48" t="str">
            <v>Owners of the parent</v>
          </cell>
          <cell r="B48" t="str">
            <v>Moderbolagets ägare</v>
          </cell>
          <cell r="D48">
            <v>66.70000000000006</v>
          </cell>
          <cell r="E48">
            <v>10.399999999999864</v>
          </cell>
          <cell r="F48">
            <v>96.700000000000045</v>
          </cell>
          <cell r="G48">
            <v>61.799999999999926</v>
          </cell>
          <cell r="H48">
            <v>113.00000000000024</v>
          </cell>
          <cell r="K48">
            <v>29.999999999999986</v>
          </cell>
          <cell r="L48">
            <v>96.700000000000045</v>
          </cell>
          <cell r="M48">
            <v>79.40000000000002</v>
          </cell>
          <cell r="N48">
            <v>78.100000000000122</v>
          </cell>
          <cell r="O48">
            <v>51.400000000000063</v>
          </cell>
          <cell r="P48">
            <v>61.799999999999926</v>
          </cell>
          <cell r="Q48">
            <v>79.40000000000002</v>
          </cell>
          <cell r="R48">
            <v>78.100000000000122</v>
          </cell>
          <cell r="S48">
            <v>24.200000000000042</v>
          </cell>
          <cell r="T48">
            <v>66.100000000000108</v>
          </cell>
          <cell r="U48">
            <v>87.599999999999895</v>
          </cell>
          <cell r="V48">
            <v>96.300000000000139</v>
          </cell>
          <cell r="W48">
            <v>29.999999999999986</v>
          </cell>
          <cell r="X48">
            <v>66.70000000000006</v>
          </cell>
          <cell r="Y48">
            <v>-17.300000000000026</v>
          </cell>
          <cell r="Z48">
            <v>-1.2999999999998977</v>
          </cell>
          <cell r="AA48">
            <v>51.400000000000063</v>
          </cell>
          <cell r="AB48">
            <v>10.399999999999864</v>
          </cell>
          <cell r="AC48">
            <v>17.600000000000094</v>
          </cell>
          <cell r="AD48">
            <v>-1.2999999999998977</v>
          </cell>
          <cell r="AE48">
            <v>24.200000000000042</v>
          </cell>
          <cell r="AF48">
            <v>41.900000000000063</v>
          </cell>
          <cell r="AG48">
            <v>21.499999999999787</v>
          </cell>
          <cell r="AH48">
            <v>8.7000000000002444</v>
          </cell>
        </row>
        <row r="49">
          <cell r="A49" t="str">
            <v>Non-controlling interests</v>
          </cell>
          <cell r="B49" t="str">
            <v>Innehav utan bestämmande inflytande</v>
          </cell>
          <cell r="D49">
            <v>1.5</v>
          </cell>
          <cell r="E49">
            <v>1.4</v>
          </cell>
          <cell r="F49">
            <v>2.6</v>
          </cell>
          <cell r="G49">
            <v>3</v>
          </cell>
          <cell r="H49">
            <v>4.1999999999999993</v>
          </cell>
          <cell r="K49">
            <v>1.1000000000000001</v>
          </cell>
          <cell r="L49">
            <v>2.6</v>
          </cell>
          <cell r="M49">
            <v>3.8</v>
          </cell>
          <cell r="N49">
            <v>4.5999999999999996</v>
          </cell>
          <cell r="O49">
            <v>1.6</v>
          </cell>
          <cell r="P49">
            <v>3</v>
          </cell>
          <cell r="Q49">
            <v>3.8</v>
          </cell>
          <cell r="R49">
            <v>4.5999999999999996</v>
          </cell>
          <cell r="S49">
            <v>2.1</v>
          </cell>
          <cell r="T49">
            <v>4.3</v>
          </cell>
          <cell r="U49">
            <v>6.4</v>
          </cell>
          <cell r="V49">
            <v>6.4</v>
          </cell>
          <cell r="W49">
            <v>1.1000000000000001</v>
          </cell>
          <cell r="X49">
            <v>1.5</v>
          </cell>
          <cell r="Y49">
            <v>1.1999999999999997</v>
          </cell>
          <cell r="Z49">
            <v>0.79999999999999982</v>
          </cell>
          <cell r="AA49">
            <v>1.6</v>
          </cell>
          <cell r="AB49">
            <v>1.4</v>
          </cell>
          <cell r="AC49">
            <v>0.79999999999999982</v>
          </cell>
          <cell r="AD49">
            <v>0.79999999999999982</v>
          </cell>
          <cell r="AE49">
            <v>2.1</v>
          </cell>
          <cell r="AF49">
            <v>2.1999999999999997</v>
          </cell>
          <cell r="AG49">
            <v>2.1000000000000005</v>
          </cell>
          <cell r="AH49">
            <v>0</v>
          </cell>
        </row>
        <row r="53">
          <cell r="B53" t="str">
            <v>Koncernens finansiella ställning i sammandrag</v>
          </cell>
        </row>
        <row r="54">
          <cell r="F54" t="str">
            <v>30 jun</v>
          </cell>
          <cell r="G54" t="str">
            <v>30 jun</v>
          </cell>
          <cell r="I54" t="str">
            <v>31 dec</v>
          </cell>
        </row>
        <row r="55">
          <cell r="A55" t="str">
            <v>MSEK</v>
          </cell>
          <cell r="B55" t="str">
            <v>Mkr</v>
          </cell>
          <cell r="C55" t="str">
            <v>Not</v>
          </cell>
          <cell r="F55">
            <v>2026</v>
          </cell>
          <cell r="G55">
            <v>2025</v>
          </cell>
          <cell r="I55">
            <v>2025</v>
          </cell>
          <cell r="K55">
            <v>2026</v>
          </cell>
          <cell r="L55">
            <v>2026</v>
          </cell>
          <cell r="M55">
            <v>2026</v>
          </cell>
          <cell r="N55">
            <v>2026</v>
          </cell>
          <cell r="O55">
            <v>2025</v>
          </cell>
          <cell r="P55">
            <v>2025</v>
          </cell>
          <cell r="Q55">
            <v>2025</v>
          </cell>
          <cell r="R55">
            <v>2025</v>
          </cell>
        </row>
        <row r="56">
          <cell r="A56" t="str">
            <v>Assets</v>
          </cell>
          <cell r="B56" t="str">
            <v>Tillgångar</v>
          </cell>
        </row>
        <row r="57">
          <cell r="A57" t="str">
            <v xml:space="preserve"> Intangible fixed assets</v>
          </cell>
          <cell r="B57" t="str">
            <v>Immateriella anläggningstillgångar</v>
          </cell>
          <cell r="F57">
            <v>10</v>
          </cell>
          <cell r="G57">
            <v>10</v>
          </cell>
          <cell r="I57">
            <v>10</v>
          </cell>
          <cell r="K57">
            <v>10</v>
          </cell>
          <cell r="L57">
            <v>10</v>
          </cell>
          <cell r="O57">
            <v>10</v>
          </cell>
          <cell r="P57">
            <v>10</v>
          </cell>
          <cell r="Q57">
            <v>10</v>
          </cell>
          <cell r="R57">
            <v>10</v>
          </cell>
          <cell r="S57">
            <v>12.3</v>
          </cell>
          <cell r="T57">
            <v>10.9</v>
          </cell>
          <cell r="U57">
            <v>10</v>
          </cell>
          <cell r="V57">
            <v>10</v>
          </cell>
        </row>
        <row r="58">
          <cell r="A58" t="str">
            <v xml:space="preserve"> Tangible fixed assets</v>
          </cell>
          <cell r="B58" t="str">
            <v>Materiella anläggningstillgångar</v>
          </cell>
          <cell r="F58">
            <v>566.4</v>
          </cell>
          <cell r="G58">
            <v>586.70000000000005</v>
          </cell>
          <cell r="I58">
            <v>584.9</v>
          </cell>
          <cell r="K58">
            <v>575.5</v>
          </cell>
          <cell r="L58">
            <v>566.4</v>
          </cell>
          <cell r="O58">
            <v>583.79999999999995</v>
          </cell>
          <cell r="P58">
            <v>586.70000000000005</v>
          </cell>
          <cell r="Q58">
            <v>591.1</v>
          </cell>
          <cell r="R58">
            <v>584.9</v>
          </cell>
          <cell r="S58">
            <v>590.6</v>
          </cell>
          <cell r="T58">
            <v>586.70000000000005</v>
          </cell>
          <cell r="U58">
            <v>589.9</v>
          </cell>
          <cell r="V58">
            <v>587.1</v>
          </cell>
        </row>
        <row r="59">
          <cell r="A59" t="str">
            <v xml:space="preserve"> Right of use assets</v>
          </cell>
          <cell r="B59" t="str">
            <v>Nyttjanderättstillgångar</v>
          </cell>
          <cell r="F59">
            <v>18.600000000000001</v>
          </cell>
          <cell r="G59">
            <v>18.600000000000001</v>
          </cell>
          <cell r="I59">
            <v>17.8</v>
          </cell>
          <cell r="K59">
            <v>20.2</v>
          </cell>
          <cell r="L59">
            <v>18.600000000000001</v>
          </cell>
          <cell r="O59">
            <v>21.8</v>
          </cell>
          <cell r="P59">
            <v>18.600000000000001</v>
          </cell>
          <cell r="Q59">
            <v>15.9</v>
          </cell>
          <cell r="R59">
            <v>17.8</v>
          </cell>
          <cell r="S59">
            <v>33</v>
          </cell>
          <cell r="T59">
            <v>26.7</v>
          </cell>
          <cell r="U59">
            <v>24</v>
          </cell>
          <cell r="V59">
            <v>22</v>
          </cell>
        </row>
        <row r="60">
          <cell r="A60" t="str">
            <v xml:space="preserve"> Financial fixed assets</v>
          </cell>
          <cell r="B60" t="str">
            <v>Finansiella anläggningstillgångar</v>
          </cell>
          <cell r="F60">
            <v>0.2</v>
          </cell>
          <cell r="G60">
            <v>0.9</v>
          </cell>
          <cell r="I60">
            <v>0.2</v>
          </cell>
          <cell r="K60">
            <v>0.2</v>
          </cell>
          <cell r="L60">
            <v>0.2</v>
          </cell>
          <cell r="O60">
            <v>0.9</v>
          </cell>
          <cell r="P60">
            <v>0.9</v>
          </cell>
          <cell r="Q60">
            <v>0.9</v>
          </cell>
          <cell r="R60">
            <v>0.2</v>
          </cell>
          <cell r="S60">
            <v>0.8</v>
          </cell>
          <cell r="T60">
            <v>0.8</v>
          </cell>
          <cell r="U60">
            <v>0.8</v>
          </cell>
          <cell r="V60">
            <v>0.9</v>
          </cell>
        </row>
        <row r="61">
          <cell r="A61" t="str">
            <v>Deferred tax assets</v>
          </cell>
          <cell r="B61" t="str">
            <v>Uppskjuten skattefordran</v>
          </cell>
          <cell r="F61">
            <v>0.4</v>
          </cell>
          <cell r="G61">
            <v>0.3</v>
          </cell>
          <cell r="I61">
            <v>0.3</v>
          </cell>
          <cell r="K61">
            <v>0.3</v>
          </cell>
          <cell r="L61">
            <v>0.4</v>
          </cell>
          <cell r="O61">
            <v>0.3</v>
          </cell>
          <cell r="P61">
            <v>0.3</v>
          </cell>
          <cell r="Q61">
            <v>0.3</v>
          </cell>
          <cell r="R61">
            <v>0.3</v>
          </cell>
          <cell r="S61">
            <v>0.4</v>
          </cell>
          <cell r="T61">
            <v>0.4</v>
          </cell>
          <cell r="U61">
            <v>0.3</v>
          </cell>
          <cell r="V61">
            <v>0.4</v>
          </cell>
        </row>
        <row r="62">
          <cell r="A62" t="str">
            <v>Total fixed assets</v>
          </cell>
          <cell r="B62" t="str">
            <v>Summa anläggningstillgångar</v>
          </cell>
          <cell r="F62">
            <v>595.6</v>
          </cell>
          <cell r="G62">
            <v>616.5</v>
          </cell>
          <cell r="I62">
            <v>613.19999999999993</v>
          </cell>
          <cell r="K62">
            <v>606.20000000000005</v>
          </cell>
          <cell r="L62">
            <v>595.6</v>
          </cell>
          <cell r="O62">
            <v>616.79999999999984</v>
          </cell>
          <cell r="P62">
            <v>616.5</v>
          </cell>
          <cell r="Q62">
            <v>618.19999999999993</v>
          </cell>
          <cell r="R62">
            <v>613.19999999999993</v>
          </cell>
          <cell r="S62">
            <v>637.09999999999991</v>
          </cell>
          <cell r="T62">
            <v>625.5</v>
          </cell>
          <cell r="U62">
            <v>624.99999999999989</v>
          </cell>
          <cell r="V62">
            <v>620.4</v>
          </cell>
        </row>
        <row r="64">
          <cell r="A64" t="str">
            <v xml:space="preserve"> Inventories</v>
          </cell>
          <cell r="B64" t="str">
            <v>Varulager</v>
          </cell>
          <cell r="F64">
            <v>402.6</v>
          </cell>
          <cell r="G64">
            <v>364.7</v>
          </cell>
          <cell r="I64">
            <v>361.6</v>
          </cell>
          <cell r="K64">
            <v>345.7</v>
          </cell>
          <cell r="L64">
            <v>402.6</v>
          </cell>
          <cell r="O64">
            <v>371.2</v>
          </cell>
          <cell r="P64">
            <v>364.7</v>
          </cell>
          <cell r="Q64">
            <v>376.9</v>
          </cell>
          <cell r="R64">
            <v>361.6</v>
          </cell>
          <cell r="S64">
            <v>348.3</v>
          </cell>
          <cell r="T64">
            <v>346.4</v>
          </cell>
          <cell r="U64">
            <v>369.4</v>
          </cell>
          <cell r="V64">
            <v>352.1</v>
          </cell>
        </row>
        <row r="65">
          <cell r="A65" t="str">
            <v xml:space="preserve"> Current receivables</v>
          </cell>
          <cell r="B65" t="str">
            <v>Kortfristiga fordringar</v>
          </cell>
          <cell r="C65">
            <v>5</v>
          </cell>
          <cell r="F65">
            <v>465.3</v>
          </cell>
          <cell r="G65">
            <v>453.6</v>
          </cell>
          <cell r="I65">
            <v>375.8</v>
          </cell>
          <cell r="K65">
            <v>467.4</v>
          </cell>
          <cell r="L65">
            <v>465.3</v>
          </cell>
          <cell r="O65">
            <v>426.8</v>
          </cell>
          <cell r="P65">
            <v>453.6</v>
          </cell>
          <cell r="Q65">
            <v>416.2</v>
          </cell>
          <cell r="R65">
            <v>375.8</v>
          </cell>
          <cell r="S65">
            <v>370.3</v>
          </cell>
          <cell r="T65">
            <v>377.5</v>
          </cell>
          <cell r="U65">
            <v>374.2</v>
          </cell>
          <cell r="V65">
            <v>316.7</v>
          </cell>
        </row>
        <row r="66">
          <cell r="A66" t="str">
            <v xml:space="preserve"> Liquid assets</v>
          </cell>
          <cell r="B66" t="str">
            <v>Likvida medel</v>
          </cell>
          <cell r="F66">
            <v>14.7</v>
          </cell>
          <cell r="G66">
            <v>38.5</v>
          </cell>
          <cell r="I66">
            <v>50</v>
          </cell>
          <cell r="K66">
            <v>37</v>
          </cell>
          <cell r="L66">
            <v>14.7</v>
          </cell>
          <cell r="O66">
            <v>49.9</v>
          </cell>
          <cell r="P66">
            <v>38.5</v>
          </cell>
          <cell r="Q66">
            <v>56.5</v>
          </cell>
          <cell r="R66">
            <v>50</v>
          </cell>
          <cell r="S66">
            <v>136.30000000000001</v>
          </cell>
          <cell r="T66">
            <v>141</v>
          </cell>
          <cell r="U66">
            <v>49.1</v>
          </cell>
          <cell r="V66">
            <v>68.7</v>
          </cell>
        </row>
        <row r="67">
          <cell r="A67" t="str">
            <v>Total current assets</v>
          </cell>
          <cell r="B67" t="str">
            <v>Summa omsättningstillgångar</v>
          </cell>
          <cell r="F67">
            <v>882.60000000000014</v>
          </cell>
          <cell r="G67">
            <v>856.8</v>
          </cell>
          <cell r="I67">
            <v>787.40000000000009</v>
          </cell>
          <cell r="K67">
            <v>850.09999999999991</v>
          </cell>
          <cell r="L67">
            <v>882.60000000000014</v>
          </cell>
          <cell r="O67">
            <v>847.9</v>
          </cell>
          <cell r="P67">
            <v>856.8</v>
          </cell>
          <cell r="Q67">
            <v>849.59999999999991</v>
          </cell>
          <cell r="R67">
            <v>787.40000000000009</v>
          </cell>
          <cell r="S67">
            <v>854.90000000000009</v>
          </cell>
          <cell r="T67">
            <v>864.9</v>
          </cell>
          <cell r="U67">
            <v>792.69999999999993</v>
          </cell>
          <cell r="V67">
            <v>737.5</v>
          </cell>
        </row>
        <row r="68">
          <cell r="A68" t="str">
            <v>Total assets</v>
          </cell>
          <cell r="B68" t="str">
            <v>Summa tillgångar</v>
          </cell>
          <cell r="F68">
            <v>1478.2000000000003</v>
          </cell>
          <cell r="G68">
            <v>1473.3</v>
          </cell>
          <cell r="I68">
            <v>1400.6</v>
          </cell>
          <cell r="K68">
            <v>1456.3</v>
          </cell>
          <cell r="L68">
            <v>1478.2000000000003</v>
          </cell>
          <cell r="O68">
            <v>1464.6999999999998</v>
          </cell>
          <cell r="P68">
            <v>1473.3</v>
          </cell>
          <cell r="Q68">
            <v>1467.7999999999997</v>
          </cell>
          <cell r="R68">
            <v>1400.6</v>
          </cell>
          <cell r="S68">
            <v>1492</v>
          </cell>
          <cell r="T68">
            <v>1490.4</v>
          </cell>
          <cell r="U68">
            <v>1417.6999999999998</v>
          </cell>
          <cell r="V68">
            <v>1357.9</v>
          </cell>
        </row>
        <row r="70">
          <cell r="A70" t="str">
            <v>Shareholders’ equity</v>
          </cell>
          <cell r="B70" t="str">
            <v>Eget kapital</v>
          </cell>
        </row>
        <row r="71">
          <cell r="A71" t="str">
            <v>Total equity attributable to the parent Company´s shareholders</v>
          </cell>
          <cell r="B71" t="str">
            <v>Eget kapital hänförligt till moderbolagets aktieägare</v>
          </cell>
          <cell r="F71">
            <v>794.7</v>
          </cell>
          <cell r="G71">
            <v>681.69999999999993</v>
          </cell>
          <cell r="I71">
            <v>698.8</v>
          </cell>
          <cell r="K71">
            <v>722.5</v>
          </cell>
          <cell r="L71">
            <v>794.7</v>
          </cell>
          <cell r="O71">
            <v>708.7</v>
          </cell>
          <cell r="P71">
            <v>681.69999999999993</v>
          </cell>
          <cell r="Q71">
            <v>699</v>
          </cell>
          <cell r="R71">
            <v>698.8</v>
          </cell>
          <cell r="S71">
            <v>626.5</v>
          </cell>
          <cell r="T71">
            <v>627.4</v>
          </cell>
          <cell r="U71">
            <v>648.9</v>
          </cell>
          <cell r="V71">
            <v>657.59999999999991</v>
          </cell>
        </row>
        <row r="72">
          <cell r="A72" t="str">
            <v>Non-controlling interests</v>
          </cell>
          <cell r="B72" t="str">
            <v>Innehav utan bestämmande inflytande</v>
          </cell>
          <cell r="F72">
            <v>10.8</v>
          </cell>
          <cell r="G72">
            <v>15.2</v>
          </cell>
          <cell r="I72">
            <v>16</v>
          </cell>
          <cell r="K72">
            <v>14.8</v>
          </cell>
          <cell r="L72">
            <v>10.8</v>
          </cell>
          <cell r="O72">
            <v>13.4</v>
          </cell>
          <cell r="P72">
            <v>15.2</v>
          </cell>
          <cell r="Q72">
            <v>16.3</v>
          </cell>
          <cell r="R72">
            <v>16</v>
          </cell>
          <cell r="S72">
            <v>15.3</v>
          </cell>
          <cell r="T72">
            <v>21.5</v>
          </cell>
          <cell r="U72">
            <v>16.7</v>
          </cell>
          <cell r="V72">
            <v>16.7</v>
          </cell>
        </row>
        <row r="73">
          <cell r="A73" t="str">
            <v>Total equity</v>
          </cell>
          <cell r="B73" t="str">
            <v>Summa eget kapital</v>
          </cell>
          <cell r="F73">
            <v>805.5</v>
          </cell>
          <cell r="G73">
            <v>696.9</v>
          </cell>
          <cell r="I73">
            <v>714.8</v>
          </cell>
          <cell r="K73">
            <v>737.3</v>
          </cell>
          <cell r="L73">
            <v>805.5</v>
          </cell>
          <cell r="O73">
            <v>722.1</v>
          </cell>
          <cell r="P73">
            <v>696.9</v>
          </cell>
          <cell r="Q73">
            <v>715.3</v>
          </cell>
          <cell r="R73">
            <v>714.8</v>
          </cell>
          <cell r="S73">
            <v>641.79999999999995</v>
          </cell>
          <cell r="T73">
            <v>648.9</v>
          </cell>
          <cell r="U73">
            <v>665.6</v>
          </cell>
          <cell r="V73">
            <v>674.3</v>
          </cell>
        </row>
        <row r="75">
          <cell r="A75" t="str">
            <v>Liabilities</v>
          </cell>
          <cell r="B75" t="str">
            <v>Skulder</v>
          </cell>
        </row>
        <row r="76">
          <cell r="A76" t="str">
            <v xml:space="preserve"> Interest-bearing liabilities</v>
          </cell>
          <cell r="B76" t="str">
            <v>Räntebärande skulder och avsättningar</v>
          </cell>
          <cell r="F76">
            <v>65.3</v>
          </cell>
          <cell r="G76">
            <v>83.2</v>
          </cell>
          <cell r="I76">
            <v>73.7</v>
          </cell>
          <cell r="K76">
            <v>69.400000000000006</v>
          </cell>
          <cell r="L76">
            <v>65.3</v>
          </cell>
          <cell r="O76">
            <v>87.4</v>
          </cell>
          <cell r="P76">
            <v>83.2</v>
          </cell>
          <cell r="Q76">
            <v>77.3</v>
          </cell>
          <cell r="R76">
            <v>73.7</v>
          </cell>
          <cell r="S76">
            <v>118.1</v>
          </cell>
          <cell r="T76">
            <v>106.9</v>
          </cell>
          <cell r="U76">
            <v>99.9</v>
          </cell>
          <cell r="V76">
            <v>94.8</v>
          </cell>
        </row>
        <row r="77">
          <cell r="A77" t="str">
            <v xml:space="preserve"> Interest-free liabilities</v>
          </cell>
          <cell r="B77" t="str">
            <v>Uppskjutna skatteskulder</v>
          </cell>
          <cell r="F77">
            <v>97.5</v>
          </cell>
          <cell r="G77">
            <v>92.7</v>
          </cell>
          <cell r="I77">
            <v>96.7</v>
          </cell>
          <cell r="K77">
            <v>95.1</v>
          </cell>
          <cell r="L77">
            <v>97.5</v>
          </cell>
          <cell r="O77">
            <v>95.3</v>
          </cell>
          <cell r="P77">
            <v>92.7</v>
          </cell>
          <cell r="Q77">
            <v>93.8</v>
          </cell>
          <cell r="R77">
            <v>96.7</v>
          </cell>
          <cell r="S77">
            <v>87.7</v>
          </cell>
          <cell r="T77">
            <v>88.3</v>
          </cell>
          <cell r="U77">
            <v>89.5</v>
          </cell>
          <cell r="V77">
            <v>93.5</v>
          </cell>
        </row>
        <row r="78">
          <cell r="A78" t="str">
            <v>Total long-term liabilities</v>
          </cell>
          <cell r="B78" t="str">
            <v>Summa långfristiga skulder</v>
          </cell>
          <cell r="F78">
            <v>162.80000000000001</v>
          </cell>
          <cell r="G78">
            <v>175.9</v>
          </cell>
          <cell r="I78">
            <v>170.4</v>
          </cell>
          <cell r="K78">
            <v>164.5</v>
          </cell>
          <cell r="L78">
            <v>162.80000000000001</v>
          </cell>
          <cell r="O78">
            <v>182.7</v>
          </cell>
          <cell r="P78">
            <v>175.9</v>
          </cell>
          <cell r="Q78">
            <v>171.1</v>
          </cell>
          <cell r="R78">
            <v>170.4</v>
          </cell>
          <cell r="S78">
            <v>205.8</v>
          </cell>
          <cell r="T78">
            <v>195.2</v>
          </cell>
          <cell r="U78">
            <v>189.4</v>
          </cell>
          <cell r="V78">
            <v>188.3</v>
          </cell>
        </row>
        <row r="80">
          <cell r="A80" t="str">
            <v xml:space="preserve"> Interest-bearing liabilities and provisions</v>
          </cell>
          <cell r="B80" t="str">
            <v>Räntebärande skulder</v>
          </cell>
          <cell r="C80">
            <v>5</v>
          </cell>
          <cell r="F80">
            <v>53.5</v>
          </cell>
          <cell r="G80">
            <v>71.3</v>
          </cell>
          <cell r="I80">
            <v>150.1</v>
          </cell>
          <cell r="K80">
            <v>120.3</v>
          </cell>
          <cell r="L80">
            <v>53.5</v>
          </cell>
          <cell r="O80">
            <v>29.1</v>
          </cell>
          <cell r="P80">
            <v>71.3</v>
          </cell>
          <cell r="Q80">
            <v>121.1</v>
          </cell>
          <cell r="R80">
            <v>150.1</v>
          </cell>
          <cell r="S80">
            <v>33.5</v>
          </cell>
          <cell r="T80">
            <v>31.3</v>
          </cell>
          <cell r="U80">
            <v>30.4</v>
          </cell>
          <cell r="V80">
            <v>30.5</v>
          </cell>
        </row>
        <row r="81">
          <cell r="A81" t="str">
            <v xml:space="preserve"> Interest-free liabilities</v>
          </cell>
          <cell r="B81" t="str">
            <v>Ej räntebärande skulder</v>
          </cell>
          <cell r="F81">
            <v>456.4</v>
          </cell>
          <cell r="G81">
            <v>529.20000000000005</v>
          </cell>
          <cell r="I81">
            <v>365.3</v>
          </cell>
          <cell r="K81">
            <v>434.2</v>
          </cell>
          <cell r="L81">
            <v>456.4</v>
          </cell>
          <cell r="O81">
            <v>530.79999999999995</v>
          </cell>
          <cell r="P81">
            <v>529.20000000000005</v>
          </cell>
          <cell r="Q81">
            <v>460.3</v>
          </cell>
          <cell r="R81">
            <v>365.3</v>
          </cell>
          <cell r="S81">
            <v>610.9</v>
          </cell>
          <cell r="T81">
            <v>615.1</v>
          </cell>
          <cell r="U81">
            <v>532.29999999999995</v>
          </cell>
          <cell r="V81">
            <v>464.8</v>
          </cell>
        </row>
        <row r="82">
          <cell r="A82" t="str">
            <v>Total short-term liabilities</v>
          </cell>
          <cell r="B82" t="str">
            <v>Summa kortfristiga skulder</v>
          </cell>
          <cell r="F82">
            <v>509.9</v>
          </cell>
          <cell r="G82">
            <v>600.5</v>
          </cell>
          <cell r="I82">
            <v>515.4</v>
          </cell>
          <cell r="K82">
            <v>554.5</v>
          </cell>
          <cell r="L82">
            <v>509.9</v>
          </cell>
          <cell r="O82">
            <v>559.9</v>
          </cell>
          <cell r="P82">
            <v>600.5</v>
          </cell>
          <cell r="Q82">
            <v>581.4</v>
          </cell>
          <cell r="R82">
            <v>515.4</v>
          </cell>
          <cell r="S82">
            <v>644.4</v>
          </cell>
          <cell r="T82">
            <v>646.4</v>
          </cell>
          <cell r="U82">
            <v>562.69999999999993</v>
          </cell>
          <cell r="V82">
            <v>495.3</v>
          </cell>
        </row>
        <row r="83">
          <cell r="A83" t="str">
            <v>Total shareholders’ equity and liabilities</v>
          </cell>
          <cell r="B83" t="str">
            <v>Summa eget kapital och skulder</v>
          </cell>
          <cell r="F83">
            <v>1478.1999999999998</v>
          </cell>
          <cell r="G83">
            <v>1473.3</v>
          </cell>
          <cell r="I83">
            <v>1400.6</v>
          </cell>
          <cell r="K83">
            <v>1456.3</v>
          </cell>
          <cell r="L83">
            <v>1478.1999999999998</v>
          </cell>
          <cell r="O83">
            <v>1464.6999999999998</v>
          </cell>
          <cell r="P83">
            <v>1473.3</v>
          </cell>
          <cell r="Q83">
            <v>1467.8</v>
          </cell>
          <cell r="R83">
            <v>1400.6</v>
          </cell>
          <cell r="S83">
            <v>1492</v>
          </cell>
          <cell r="T83">
            <v>1490.5</v>
          </cell>
          <cell r="U83">
            <v>1417.6999999999998</v>
          </cell>
          <cell r="V83">
            <v>1357.8999999999999</v>
          </cell>
        </row>
        <row r="87">
          <cell r="D87" t="str">
            <v>Kvartal 2</v>
          </cell>
          <cell r="E87" t="str">
            <v>Kvartal 2</v>
          </cell>
          <cell r="F87" t="str">
            <v>Kvartal 1-2</v>
          </cell>
          <cell r="G87" t="str">
            <v>Kvartal 1-2</v>
          </cell>
        </row>
        <row r="88">
          <cell r="B88" t="str">
            <v>Mkr</v>
          </cell>
          <cell r="D88">
            <v>2026</v>
          </cell>
          <cell r="E88">
            <v>2025</v>
          </cell>
          <cell r="F88">
            <v>2026</v>
          </cell>
          <cell r="G88">
            <v>2025</v>
          </cell>
          <cell r="I88">
            <v>2025</v>
          </cell>
        </row>
        <row r="89">
          <cell r="A89" t="str">
            <v>Opening balance, total equity</v>
          </cell>
          <cell r="B89" t="str">
            <v>Totalt eget kapital vid periodens början</v>
          </cell>
          <cell r="D89">
            <v>737.30000000000007</v>
          </cell>
          <cell r="E89">
            <v>722.1</v>
          </cell>
          <cell r="F89">
            <v>714.80000000000007</v>
          </cell>
          <cell r="G89">
            <v>674.3</v>
          </cell>
          <cell r="I89">
            <v>674.3</v>
          </cell>
          <cell r="K89">
            <v>714.80000000000007</v>
          </cell>
          <cell r="L89">
            <v>714.80000000000007</v>
          </cell>
          <cell r="M89">
            <v>714.80000000000007</v>
          </cell>
          <cell r="N89">
            <v>714.80000000000007</v>
          </cell>
          <cell r="O89">
            <v>674.3</v>
          </cell>
          <cell r="P89">
            <v>674.3</v>
          </cell>
          <cell r="Q89">
            <v>674.3</v>
          </cell>
          <cell r="R89">
            <v>674.3</v>
          </cell>
          <cell r="S89">
            <v>615.49999999999977</v>
          </cell>
          <cell r="T89">
            <v>615.49999999999977</v>
          </cell>
          <cell r="U89">
            <v>615.49999999999977</v>
          </cell>
          <cell r="V89">
            <v>615.49999999999977</v>
          </cell>
          <cell r="W89">
            <v>714.80000000000007</v>
          </cell>
          <cell r="X89">
            <v>737.30000000000007</v>
          </cell>
          <cell r="Y89">
            <v>805.50000000000011</v>
          </cell>
          <cell r="Z89" t="str">
            <v>diff mot BR</v>
          </cell>
          <cell r="AA89">
            <v>674.3</v>
          </cell>
          <cell r="AB89">
            <v>722.1</v>
          </cell>
          <cell r="AC89">
            <v>696.89999999999986</v>
          </cell>
          <cell r="AD89">
            <v>715.3</v>
          </cell>
          <cell r="AE89">
            <v>615.49999999999977</v>
          </cell>
          <cell r="AF89">
            <v>641.79999999999984</v>
          </cell>
          <cell r="AG89">
            <v>648.9</v>
          </cell>
          <cell r="AH89">
            <v>665.5999999999998</v>
          </cell>
        </row>
        <row r="90">
          <cell r="A90" t="str">
            <v>Changes attributable to owners of the parent:</v>
          </cell>
          <cell r="B90" t="str">
            <v>Förändringar hänförliga till moderbolagets ägare:</v>
          </cell>
          <cell r="K90"/>
          <cell r="L90"/>
          <cell r="M90"/>
          <cell r="N90"/>
          <cell r="O90"/>
          <cell r="P90"/>
          <cell r="Q90"/>
          <cell r="R90"/>
          <cell r="S90"/>
          <cell r="T90"/>
          <cell r="U90"/>
          <cell r="V90"/>
          <cell r="W90"/>
          <cell r="X90"/>
          <cell r="Y90"/>
          <cell r="Z90"/>
          <cell r="AA90"/>
          <cell r="AB90"/>
          <cell r="AC90"/>
          <cell r="AD90"/>
          <cell r="AE90"/>
          <cell r="AF90"/>
          <cell r="AG90"/>
          <cell r="AH90"/>
        </row>
        <row r="91">
          <cell r="A91" t="str">
            <v>Comprehensive income for the period</v>
          </cell>
          <cell r="B91" t="str">
            <v>Periodens totalresultat</v>
          </cell>
          <cell r="D91">
            <v>66.70000000000006</v>
          </cell>
          <cell r="E91">
            <v>10.399999999999864</v>
          </cell>
          <cell r="F91">
            <v>96.700000000000045</v>
          </cell>
          <cell r="G91">
            <v>61.799999999999926</v>
          </cell>
          <cell r="I91">
            <v>78.100000000000122</v>
          </cell>
          <cell r="K91">
            <v>29.999999999999986</v>
          </cell>
          <cell r="L91">
            <v>96.700000000000045</v>
          </cell>
          <cell r="M91">
            <v>79.40000000000002</v>
          </cell>
          <cell r="N91">
            <v>78.100000000000122</v>
          </cell>
          <cell r="O91">
            <v>51.400000000000063</v>
          </cell>
          <cell r="P91">
            <v>61.799999999999926</v>
          </cell>
          <cell r="Q91">
            <v>79.40000000000002</v>
          </cell>
          <cell r="R91">
            <v>78.100000000000122</v>
          </cell>
          <cell r="S91">
            <v>24.200000000000042</v>
          </cell>
          <cell r="T91">
            <v>66.100000000000108</v>
          </cell>
          <cell r="U91">
            <v>87.599999999999895</v>
          </cell>
          <cell r="V91">
            <v>96.300000000000139</v>
          </cell>
          <cell r="W91">
            <v>29.999999999999986</v>
          </cell>
          <cell r="X91">
            <v>66.70000000000006</v>
          </cell>
          <cell r="Y91">
            <v>-17.300000000000026</v>
          </cell>
          <cell r="Z91">
            <v>-1.2999999999998977</v>
          </cell>
          <cell r="AA91">
            <v>51.400000000000063</v>
          </cell>
          <cell r="AB91">
            <v>10.399999999999864</v>
          </cell>
          <cell r="AC91">
            <v>17.600000000000094</v>
          </cell>
          <cell r="AD91">
            <v>-1.2999999999998977</v>
          </cell>
          <cell r="AE91">
            <v>24.200000000000042</v>
          </cell>
          <cell r="AF91">
            <v>41.900000000000063</v>
          </cell>
          <cell r="AG91">
            <v>21.499999999999787</v>
          </cell>
          <cell r="AH91">
            <v>8.7000000000002444</v>
          </cell>
        </row>
        <row r="92">
          <cell r="B92" t="str">
            <v>Förändrad skattesats</v>
          </cell>
          <cell r="D92">
            <v>0</v>
          </cell>
          <cell r="E92">
            <v>0</v>
          </cell>
          <cell r="F92">
            <v>0</v>
          </cell>
          <cell r="G92">
            <v>0</v>
          </cell>
          <cell r="I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row>
        <row r="93">
          <cell r="A93" t="str">
            <v>Changes attributable to non-controlling interests:</v>
          </cell>
          <cell r="B93" t="str">
            <v>Förändringar hänförliga till innehav utan bestämmande inflytande:</v>
          </cell>
          <cell r="K93"/>
          <cell r="L93"/>
          <cell r="M93"/>
          <cell r="N93"/>
          <cell r="O93"/>
          <cell r="P93"/>
          <cell r="Q93"/>
          <cell r="R93"/>
          <cell r="S93"/>
          <cell r="T93"/>
          <cell r="U93"/>
          <cell r="V93"/>
          <cell r="W93"/>
          <cell r="X93"/>
          <cell r="Y93"/>
          <cell r="Z93"/>
          <cell r="AA93"/>
          <cell r="AB93"/>
          <cell r="AC93"/>
          <cell r="AD93"/>
          <cell r="AE93"/>
          <cell r="AF93"/>
          <cell r="AG93"/>
          <cell r="AH93"/>
        </row>
        <row r="94">
          <cell r="A94" t="str">
            <v>Comprehensive income for the period</v>
          </cell>
          <cell r="B94" t="str">
            <v>Periodens totalresultat</v>
          </cell>
          <cell r="D94">
            <v>1.5</v>
          </cell>
          <cell r="E94">
            <v>1.4</v>
          </cell>
          <cell r="F94">
            <v>2.6</v>
          </cell>
          <cell r="G94">
            <v>3</v>
          </cell>
          <cell r="I94">
            <v>4.5999999999999996</v>
          </cell>
          <cell r="K94">
            <v>1.1000000000000001</v>
          </cell>
          <cell r="L94">
            <v>2.6</v>
          </cell>
          <cell r="M94">
            <v>3.8</v>
          </cell>
          <cell r="N94">
            <v>4.5999999999999996</v>
          </cell>
          <cell r="O94">
            <v>1.6</v>
          </cell>
          <cell r="P94">
            <v>3</v>
          </cell>
          <cell r="Q94">
            <v>3.8</v>
          </cell>
          <cell r="R94">
            <v>4.5999999999999996</v>
          </cell>
          <cell r="S94">
            <v>2.1</v>
          </cell>
          <cell r="T94">
            <v>4.3</v>
          </cell>
          <cell r="U94">
            <v>6.4</v>
          </cell>
          <cell r="V94">
            <v>6.4</v>
          </cell>
          <cell r="W94">
            <v>1.1000000000000001</v>
          </cell>
          <cell r="X94">
            <v>1.5</v>
          </cell>
          <cell r="Y94">
            <v>1.1999999999999997</v>
          </cell>
          <cell r="Z94">
            <v>0.79999999999999982</v>
          </cell>
          <cell r="AA94">
            <v>1.6</v>
          </cell>
          <cell r="AB94">
            <v>1.4</v>
          </cell>
          <cell r="AC94">
            <v>0.79999999999999982</v>
          </cell>
          <cell r="AD94">
            <v>0.79999999999999982</v>
          </cell>
          <cell r="AE94">
            <v>2.1</v>
          </cell>
          <cell r="AF94">
            <v>2.1999999999999997</v>
          </cell>
          <cell r="AG94">
            <v>2.1000000000000005</v>
          </cell>
          <cell r="AH94">
            <v>0</v>
          </cell>
        </row>
        <row r="95">
          <cell r="A95" t="str">
            <v>Transactions with shareholders</v>
          </cell>
          <cell r="B95" t="str">
            <v>Transaktioner med aktieägare</v>
          </cell>
          <cell r="K95"/>
          <cell r="L95"/>
          <cell r="M95"/>
          <cell r="N95"/>
          <cell r="O95"/>
          <cell r="P95"/>
          <cell r="Q95"/>
          <cell r="R95"/>
          <cell r="S95"/>
          <cell r="T95"/>
          <cell r="U95"/>
          <cell r="V95"/>
          <cell r="W95"/>
          <cell r="X95"/>
          <cell r="Y95"/>
          <cell r="Z95"/>
          <cell r="AA95"/>
          <cell r="AB95"/>
          <cell r="AC95"/>
          <cell r="AD95"/>
          <cell r="AE95"/>
          <cell r="AF95"/>
          <cell r="AG95"/>
          <cell r="AH95"/>
        </row>
        <row r="96">
          <cell r="B96" t="str">
            <v>Nyemission/Aktieägartillskott</v>
          </cell>
          <cell r="D96">
            <v>0</v>
          </cell>
          <cell r="E96">
            <v>0</v>
          </cell>
          <cell r="F96">
            <v>0</v>
          </cell>
          <cell r="G96">
            <v>0</v>
          </cell>
          <cell r="I96">
            <v>0</v>
          </cell>
          <cell r="K96">
            <v>0</v>
          </cell>
          <cell r="L96">
            <v>0</v>
          </cell>
          <cell r="M96">
            <v>0</v>
          </cell>
          <cell r="N96">
            <v>0</v>
          </cell>
          <cell r="O96">
            <v>0</v>
          </cell>
          <cell r="P96">
            <v>0</v>
          </cell>
          <cell r="Q96">
            <v>0</v>
          </cell>
          <cell r="R96">
            <v>0</v>
          </cell>
          <cell r="S96">
            <v>0</v>
          </cell>
          <cell r="T96">
            <v>0</v>
          </cell>
          <cell r="U96">
            <v>0</v>
          </cell>
          <cell r="V96">
            <v>0</v>
          </cell>
          <cell r="W96"/>
          <cell r="X96">
            <v>0</v>
          </cell>
          <cell r="Y96">
            <v>0</v>
          </cell>
          <cell r="Z96">
            <v>0</v>
          </cell>
          <cell r="AA96"/>
          <cell r="AB96">
            <v>0</v>
          </cell>
          <cell r="AC96">
            <v>0</v>
          </cell>
          <cell r="AD96">
            <v>0</v>
          </cell>
          <cell r="AE96"/>
          <cell r="AF96">
            <v>0</v>
          </cell>
          <cell r="AG96">
            <v>0</v>
          </cell>
          <cell r="AH96">
            <v>0</v>
          </cell>
        </row>
        <row r="97">
          <cell r="A97" t="str">
            <v>Dividend</v>
          </cell>
          <cell r="B97" t="str">
            <v>Utdelning</v>
          </cell>
          <cell r="D97">
            <v>0</v>
          </cell>
          <cell r="E97">
            <v>-37</v>
          </cell>
          <cell r="F97">
            <v>-8.6</v>
          </cell>
          <cell r="G97">
            <v>-42.2</v>
          </cell>
          <cell r="I97">
            <v>-42.2</v>
          </cell>
          <cell r="K97">
            <v>-8.6</v>
          </cell>
          <cell r="L97">
            <v>-8.6</v>
          </cell>
          <cell r="M97">
            <v>-42.2</v>
          </cell>
          <cell r="N97">
            <v>-42.2</v>
          </cell>
          <cell r="O97">
            <v>-5.2</v>
          </cell>
          <cell r="P97">
            <v>-42.2</v>
          </cell>
          <cell r="Q97">
            <v>-42.2</v>
          </cell>
          <cell r="R97">
            <v>-42.2</v>
          </cell>
          <cell r="S97">
            <v>0</v>
          </cell>
          <cell r="T97">
            <v>-37</v>
          </cell>
          <cell r="U97">
            <v>-43.9</v>
          </cell>
          <cell r="V97">
            <v>-43.9</v>
          </cell>
          <cell r="W97">
            <v>-8.6</v>
          </cell>
          <cell r="X97">
            <v>0</v>
          </cell>
          <cell r="Y97">
            <v>-33.6</v>
          </cell>
          <cell r="Z97">
            <v>0</v>
          </cell>
          <cell r="AA97">
            <v>-5.2</v>
          </cell>
          <cell r="AB97">
            <v>-37</v>
          </cell>
          <cell r="AC97">
            <v>0</v>
          </cell>
          <cell r="AD97">
            <v>0</v>
          </cell>
          <cell r="AE97"/>
          <cell r="AF97">
            <v>-37</v>
          </cell>
          <cell r="AG97">
            <v>-6.8999999999999986</v>
          </cell>
          <cell r="AH97">
            <v>0</v>
          </cell>
        </row>
        <row r="98">
          <cell r="A98" t="str">
            <v>Closing balance, total equity</v>
          </cell>
          <cell r="B98" t="str">
            <v>Totalt eget kapital vid periodens slut</v>
          </cell>
          <cell r="D98">
            <v>805.50000000000011</v>
          </cell>
          <cell r="E98">
            <v>696.89999999999986</v>
          </cell>
          <cell r="F98">
            <v>805.50000000000011</v>
          </cell>
          <cell r="G98">
            <v>696.89999999999986</v>
          </cell>
          <cell r="I98">
            <v>714.80000000000007</v>
          </cell>
          <cell r="K98">
            <v>737.30000000000007</v>
          </cell>
          <cell r="L98">
            <v>805.50000000000011</v>
          </cell>
          <cell r="M98" t="str">
            <v>diff mot BR</v>
          </cell>
          <cell r="N98" t="str">
            <v>diff mot BR</v>
          </cell>
          <cell r="O98">
            <v>722.1</v>
          </cell>
          <cell r="P98">
            <v>696.89999999999986</v>
          </cell>
          <cell r="Q98">
            <v>715.29999999999984</v>
          </cell>
          <cell r="R98">
            <v>714.80000000000007</v>
          </cell>
          <cell r="S98">
            <v>641.79999999999984</v>
          </cell>
          <cell r="T98">
            <v>648.89999999999986</v>
          </cell>
          <cell r="U98">
            <v>665.59999999999968</v>
          </cell>
          <cell r="V98">
            <v>674.3</v>
          </cell>
          <cell r="W98">
            <v>737.30000000000007</v>
          </cell>
          <cell r="X98">
            <v>805.50000000000011</v>
          </cell>
          <cell r="Y98" t="str">
            <v>diff mot BR</v>
          </cell>
          <cell r="Z98" t="str">
            <v>diff mot BR</v>
          </cell>
          <cell r="AA98">
            <v>722.1</v>
          </cell>
          <cell r="AB98">
            <v>696.89999999999986</v>
          </cell>
          <cell r="AC98">
            <v>715.3</v>
          </cell>
          <cell r="AD98">
            <v>714.8</v>
          </cell>
          <cell r="AE98">
            <v>641.79999999999984</v>
          </cell>
          <cell r="AF98">
            <v>648.9</v>
          </cell>
          <cell r="AG98">
            <v>665.5999999999998</v>
          </cell>
          <cell r="AH98">
            <v>674.30000000000007</v>
          </cell>
        </row>
        <row r="101">
          <cell r="F101" t="str">
            <v>Kvartal 1-2</v>
          </cell>
          <cell r="G101" t="str">
            <v>Kvartal 1-2</v>
          </cell>
        </row>
        <row r="102">
          <cell r="A102" t="str">
            <v>MSEK</v>
          </cell>
          <cell r="B102" t="str">
            <v>Mkr</v>
          </cell>
          <cell r="C102" t="str">
            <v>Not</v>
          </cell>
          <cell r="F102">
            <v>2026</v>
          </cell>
          <cell r="G102">
            <v>2025</v>
          </cell>
        </row>
        <row r="103">
          <cell r="A103" t="str">
            <v>Operating activities</v>
          </cell>
          <cell r="B103" t="str">
            <v>Den löpande verksamheten</v>
          </cell>
        </row>
        <row r="104">
          <cell r="A104" t="str">
            <v>Income after financial items from:</v>
          </cell>
          <cell r="B104" t="str">
            <v>Resultat före skatt från:</v>
          </cell>
          <cell r="K104"/>
          <cell r="L104"/>
          <cell r="M104"/>
          <cell r="N104"/>
          <cell r="O104"/>
          <cell r="P104"/>
          <cell r="Q104"/>
          <cell r="R104"/>
          <cell r="S104"/>
          <cell r="T104"/>
          <cell r="U104"/>
          <cell r="V104"/>
          <cell r="W104"/>
          <cell r="X104"/>
          <cell r="Y104"/>
          <cell r="Z104"/>
          <cell r="AA104"/>
          <cell r="AB104"/>
          <cell r="AC104"/>
          <cell r="AD104"/>
          <cell r="AE104"/>
          <cell r="AF104"/>
          <cell r="AG104"/>
          <cell r="AH104"/>
        </row>
        <row r="105">
          <cell r="A105" t="str">
            <v>Continued operations</v>
          </cell>
          <cell r="B105" t="str">
            <v>Kvarvarande verksamhet</v>
          </cell>
          <cell r="K105">
            <v>47.199999999999982</v>
          </cell>
          <cell r="L105">
            <v>135.30000000000001</v>
          </cell>
          <cell r="M105">
            <v>120.3</v>
          </cell>
          <cell r="N105">
            <v>141.7000000000001</v>
          </cell>
          <cell r="O105">
            <v>58.900000000000063</v>
          </cell>
          <cell r="P105">
            <v>93.499999999999915</v>
          </cell>
          <cell r="Q105">
            <v>120.3</v>
          </cell>
          <cell r="R105">
            <v>141.7000000000001</v>
          </cell>
          <cell r="S105">
            <v>34.600000000000044</v>
          </cell>
          <cell r="T105">
            <v>87.000000000000099</v>
          </cell>
          <cell r="U105">
            <v>110.6999999999999</v>
          </cell>
          <cell r="V105">
            <v>132.90000000000015</v>
          </cell>
          <cell r="W105">
            <v>47.199999999999982</v>
          </cell>
          <cell r="X105">
            <v>88.100000000000023</v>
          </cell>
          <cell r="Y105">
            <v>-15.000000000000014</v>
          </cell>
          <cell r="Z105">
            <v>21.400000000000105</v>
          </cell>
          <cell r="AA105">
            <v>58.900000000000063</v>
          </cell>
          <cell r="AB105">
            <v>34.599999999999852</v>
          </cell>
          <cell r="AC105">
            <v>26.800000000000082</v>
          </cell>
          <cell r="AD105">
            <v>21.400000000000105</v>
          </cell>
          <cell r="AE105">
            <v>34.600000000000044</v>
          </cell>
          <cell r="AF105">
            <v>52.400000000000055</v>
          </cell>
          <cell r="AG105">
            <v>23.699999999999804</v>
          </cell>
          <cell r="AH105">
            <v>22.200000000000244</v>
          </cell>
        </row>
        <row r="106">
          <cell r="A106" t="str">
            <v>Discontinued operations</v>
          </cell>
          <cell r="B106" t="str">
            <v>Avvecklad verksamhet</v>
          </cell>
          <cell r="K106">
            <v>-3.5</v>
          </cell>
          <cell r="L106">
            <v>-4.3</v>
          </cell>
          <cell r="M106">
            <v>-20.6</v>
          </cell>
          <cell r="N106">
            <v>-40</v>
          </cell>
          <cell r="O106">
            <v>-3.4</v>
          </cell>
          <cell r="P106">
            <v>-12.7</v>
          </cell>
          <cell r="Q106">
            <v>-20.6</v>
          </cell>
          <cell r="R106">
            <v>-40</v>
          </cell>
          <cell r="S106">
            <v>0</v>
          </cell>
          <cell r="T106">
            <v>0</v>
          </cell>
          <cell r="U106">
            <v>0</v>
          </cell>
          <cell r="V106">
            <v>0</v>
          </cell>
          <cell r="W106">
            <v>-3.5</v>
          </cell>
          <cell r="X106">
            <v>-0.79999999999999982</v>
          </cell>
          <cell r="Y106">
            <v>-16.3</v>
          </cell>
          <cell r="Z106">
            <v>-19.399999999999999</v>
          </cell>
          <cell r="AA106">
            <v>-3.4</v>
          </cell>
          <cell r="AB106">
            <v>-9.2999999999999989</v>
          </cell>
          <cell r="AC106">
            <v>-7.9000000000000021</v>
          </cell>
          <cell r="AD106">
            <v>-19.399999999999999</v>
          </cell>
          <cell r="AE106">
            <v>0</v>
          </cell>
          <cell r="AF106">
            <v>0</v>
          </cell>
          <cell r="AG106">
            <v>0</v>
          </cell>
          <cell r="AH106">
            <v>0</v>
          </cell>
        </row>
        <row r="107">
          <cell r="A107" t="str">
            <v>Income after financial items including discontinued operations</v>
          </cell>
          <cell r="B107" t="str">
            <v>Resultat före skatt inklusive avvecklad verksamhet</v>
          </cell>
          <cell r="K107">
            <v>43.699999999999982</v>
          </cell>
          <cell r="L107">
            <v>131</v>
          </cell>
          <cell r="M107">
            <v>99.699999999999989</v>
          </cell>
          <cell r="N107">
            <v>101.7000000000001</v>
          </cell>
          <cell r="O107">
            <v>55.500000000000064</v>
          </cell>
          <cell r="P107">
            <v>80.799999999999912</v>
          </cell>
          <cell r="Q107">
            <v>99.699999999999989</v>
          </cell>
          <cell r="R107">
            <v>101.7000000000001</v>
          </cell>
          <cell r="S107">
            <v>34.600000000000044</v>
          </cell>
          <cell r="T107">
            <v>87.000000000000099</v>
          </cell>
          <cell r="U107">
            <v>110.6999999999999</v>
          </cell>
          <cell r="V107">
            <v>132.90000000000015</v>
          </cell>
          <cell r="W107">
            <v>43.699999999999982</v>
          </cell>
          <cell r="X107">
            <v>87.300000000000011</v>
          </cell>
          <cell r="Y107">
            <v>-31.300000000000011</v>
          </cell>
          <cell r="Z107">
            <v>2.0000000000001137</v>
          </cell>
          <cell r="AA107">
            <v>55.500000000000064</v>
          </cell>
          <cell r="AB107">
            <v>25.299999999999848</v>
          </cell>
          <cell r="AC107">
            <v>18.900000000000077</v>
          </cell>
          <cell r="AD107">
            <v>2.0000000000001137</v>
          </cell>
          <cell r="AE107">
            <v>34.600000000000044</v>
          </cell>
          <cell r="AF107">
            <v>52.400000000000055</v>
          </cell>
          <cell r="AG107">
            <v>23.699999999999804</v>
          </cell>
          <cell r="AH107">
            <v>22.200000000000244</v>
          </cell>
        </row>
        <row r="108">
          <cell r="A108" t="str">
            <v>Depreciation and write-down</v>
          </cell>
          <cell r="B108" t="str">
            <v>Av- och nedskrivningar</v>
          </cell>
          <cell r="K108">
            <v>22.000000000000004</v>
          </cell>
          <cell r="L108">
            <v>43.7</v>
          </cell>
          <cell r="M108">
            <v>66.900000000000006</v>
          </cell>
          <cell r="N108">
            <v>88.7</v>
          </cell>
          <cell r="O108">
            <v>21.9</v>
          </cell>
          <cell r="P108">
            <v>44.699999999999996</v>
          </cell>
          <cell r="Q108">
            <v>66.900000000000006</v>
          </cell>
          <cell r="R108">
            <v>88.7</v>
          </cell>
          <cell r="S108">
            <v>22.9</v>
          </cell>
          <cell r="T108">
            <v>46.4</v>
          </cell>
          <cell r="U108">
            <v>69.399999999999991</v>
          </cell>
          <cell r="V108">
            <v>91.399999999999991</v>
          </cell>
          <cell r="W108">
            <v>22.000000000000004</v>
          </cell>
          <cell r="X108">
            <v>21.7</v>
          </cell>
          <cell r="Y108">
            <v>23.200000000000003</v>
          </cell>
          <cell r="Z108">
            <v>21.799999999999997</v>
          </cell>
          <cell r="AA108">
            <v>21.9</v>
          </cell>
          <cell r="AB108">
            <v>22.799999999999997</v>
          </cell>
          <cell r="AC108">
            <v>22.20000000000001</v>
          </cell>
          <cell r="AD108">
            <v>21.799999999999997</v>
          </cell>
          <cell r="AE108">
            <v>22.9</v>
          </cell>
          <cell r="AF108">
            <v>23.5</v>
          </cell>
          <cell r="AG108">
            <v>22.999999999999993</v>
          </cell>
          <cell r="AH108">
            <v>22</v>
          </cell>
        </row>
        <row r="109">
          <cell r="A109" t="str">
            <v>Adjustment for other non-cash items</v>
          </cell>
          <cell r="B109" t="str">
            <v>Övriga ej kassaflödespåverkande poster</v>
          </cell>
          <cell r="K109">
            <v>4.5</v>
          </cell>
          <cell r="L109">
            <v>0</v>
          </cell>
          <cell r="M109">
            <v>13.2</v>
          </cell>
          <cell r="N109">
            <v>9.1999999999999993</v>
          </cell>
          <cell r="O109">
            <v>1.7</v>
          </cell>
          <cell r="P109">
            <v>13.4</v>
          </cell>
          <cell r="Q109">
            <v>13.2</v>
          </cell>
          <cell r="R109">
            <v>9.1999999999999993</v>
          </cell>
          <cell r="S109">
            <v>9.9</v>
          </cell>
          <cell r="T109">
            <v>12.9</v>
          </cell>
          <cell r="U109">
            <v>25.7</v>
          </cell>
          <cell r="V109">
            <v>33.1</v>
          </cell>
          <cell r="W109">
            <v>4.5</v>
          </cell>
          <cell r="X109">
            <v>-4.5</v>
          </cell>
          <cell r="Y109">
            <v>13.2</v>
          </cell>
          <cell r="Z109">
            <v>-4</v>
          </cell>
          <cell r="AA109">
            <v>1.7</v>
          </cell>
          <cell r="AB109">
            <v>11.700000000000001</v>
          </cell>
          <cell r="AC109">
            <v>-0.20000000000000107</v>
          </cell>
          <cell r="AD109">
            <v>-4</v>
          </cell>
          <cell r="AE109">
            <v>9.9</v>
          </cell>
          <cell r="AF109">
            <v>3</v>
          </cell>
          <cell r="AG109">
            <v>12.799999999999999</v>
          </cell>
          <cell r="AH109">
            <v>7.4000000000000021</v>
          </cell>
        </row>
        <row r="110">
          <cell r="A110" t="str">
            <v>Interest received/paid</v>
          </cell>
          <cell r="B110" t="str">
            <v>Erhållen/Erlagd ränta</v>
          </cell>
          <cell r="K110">
            <v>-4.2</v>
          </cell>
          <cell r="L110">
            <v>-11.1</v>
          </cell>
          <cell r="M110">
            <v>-13.2</v>
          </cell>
          <cell r="N110">
            <v>-18.100000000000001</v>
          </cell>
          <cell r="O110">
            <v>-1.9</v>
          </cell>
          <cell r="P110">
            <v>-9.6999999999999993</v>
          </cell>
          <cell r="Q110">
            <v>-13.2</v>
          </cell>
          <cell r="R110">
            <v>-18.100000000000001</v>
          </cell>
          <cell r="S110">
            <v>-3.5</v>
          </cell>
          <cell r="T110">
            <v>-7.7</v>
          </cell>
          <cell r="U110">
            <v>-12</v>
          </cell>
          <cell r="V110">
            <v>-18.7</v>
          </cell>
          <cell r="W110">
            <v>-4.2</v>
          </cell>
          <cell r="X110">
            <v>-6.8999999999999995</v>
          </cell>
          <cell r="Y110">
            <v>-2.0999999999999996</v>
          </cell>
          <cell r="Z110">
            <v>-4.9000000000000021</v>
          </cell>
          <cell r="AA110">
            <v>-1.9</v>
          </cell>
          <cell r="AB110">
            <v>-7.7999999999999989</v>
          </cell>
          <cell r="AC110">
            <v>-3.5</v>
          </cell>
          <cell r="AD110">
            <v>-4.9000000000000021</v>
          </cell>
          <cell r="AE110">
            <v>-3.5</v>
          </cell>
          <cell r="AF110">
            <v>-4.2</v>
          </cell>
          <cell r="AG110">
            <v>-4.3</v>
          </cell>
          <cell r="AH110">
            <v>-6.6999999999999993</v>
          </cell>
        </row>
        <row r="111">
          <cell r="A111" t="str">
            <v>Paid income tax</v>
          </cell>
          <cell r="B111" t="str">
            <v>Betald skatt</v>
          </cell>
          <cell r="K111">
            <v>-3.6</v>
          </cell>
          <cell r="L111">
            <v>2</v>
          </cell>
          <cell r="M111">
            <v>-24.4</v>
          </cell>
          <cell r="N111">
            <v>-44.5</v>
          </cell>
          <cell r="O111">
            <v>-16.100000000000001</v>
          </cell>
          <cell r="P111">
            <v>-24.7</v>
          </cell>
          <cell r="Q111">
            <v>-24.4</v>
          </cell>
          <cell r="R111">
            <v>-44.5</v>
          </cell>
          <cell r="S111">
            <v>-10.1</v>
          </cell>
          <cell r="T111">
            <v>-19.100000000000001</v>
          </cell>
          <cell r="U111">
            <v>-24.5</v>
          </cell>
          <cell r="V111">
            <v>-17.7</v>
          </cell>
          <cell r="W111">
            <v>-3.6</v>
          </cell>
          <cell r="X111">
            <v>5.6</v>
          </cell>
          <cell r="Y111">
            <v>-26.4</v>
          </cell>
          <cell r="Z111">
            <v>-20.100000000000001</v>
          </cell>
          <cell r="AA111">
            <v>-16.100000000000001</v>
          </cell>
          <cell r="AB111">
            <v>-8.5999999999999979</v>
          </cell>
          <cell r="AC111">
            <v>0.30000000000000071</v>
          </cell>
          <cell r="AD111">
            <v>-20.100000000000001</v>
          </cell>
          <cell r="AE111">
            <v>-10.1</v>
          </cell>
          <cell r="AF111">
            <v>-9.0000000000000018</v>
          </cell>
          <cell r="AG111">
            <v>-5.3999999999999986</v>
          </cell>
          <cell r="AH111">
            <v>6.8000000000000007</v>
          </cell>
        </row>
        <row r="112">
          <cell r="A112" t="str">
            <v>Cash flow prior to change in working capital</v>
          </cell>
          <cell r="B112" t="str">
            <v>Kassaflöde före förändringar av rörelsekapitalet</v>
          </cell>
          <cell r="K112">
            <v>62.399999999999984</v>
          </cell>
          <cell r="L112">
            <v>165.6</v>
          </cell>
          <cell r="M112">
            <v>142.19999999999999</v>
          </cell>
          <cell r="N112">
            <v>137.00000000000009</v>
          </cell>
          <cell r="O112">
            <v>61.100000000000058</v>
          </cell>
          <cell r="P112">
            <v>104.49999999999993</v>
          </cell>
          <cell r="Q112">
            <v>142.19999999999999</v>
          </cell>
          <cell r="R112">
            <v>137.00000000000009</v>
          </cell>
          <cell r="S112">
            <v>53.800000000000047</v>
          </cell>
          <cell r="T112">
            <v>119.50000000000011</v>
          </cell>
          <cell r="U112">
            <v>169.2999999999999</v>
          </cell>
          <cell r="V112">
            <v>221.00000000000017</v>
          </cell>
          <cell r="W112">
            <v>62.399999999999984</v>
          </cell>
          <cell r="X112">
            <v>103.2</v>
          </cell>
          <cell r="Y112">
            <v>-23.400000000000006</v>
          </cell>
          <cell r="Z112">
            <v>-5.1999999999998927</v>
          </cell>
          <cell r="AA112">
            <v>61.100000000000058</v>
          </cell>
          <cell r="AB112">
            <v>43.399999999999849</v>
          </cell>
          <cell r="AC112">
            <v>37.700000000000088</v>
          </cell>
          <cell r="AD112">
            <v>-5.1999999999998927</v>
          </cell>
          <cell r="AE112">
            <v>53.800000000000047</v>
          </cell>
          <cell r="AF112">
            <v>65.70000000000006</v>
          </cell>
          <cell r="AG112">
            <v>49.799999999999798</v>
          </cell>
          <cell r="AH112">
            <v>51.700000000000244</v>
          </cell>
        </row>
        <row r="113">
          <cell r="K113"/>
          <cell r="L113"/>
          <cell r="M113"/>
          <cell r="N113"/>
          <cell r="O113"/>
          <cell r="P113"/>
          <cell r="Q113"/>
          <cell r="R113"/>
          <cell r="S113"/>
          <cell r="T113"/>
          <cell r="U113"/>
          <cell r="V113"/>
          <cell r="W113"/>
          <cell r="X113"/>
          <cell r="Y113"/>
          <cell r="Z113"/>
          <cell r="AA113"/>
          <cell r="AB113"/>
          <cell r="AC113"/>
          <cell r="AD113"/>
          <cell r="AE113"/>
          <cell r="AF113"/>
          <cell r="AG113"/>
          <cell r="AH113"/>
        </row>
        <row r="114">
          <cell r="A114" t="str">
            <v>Inventories</v>
          </cell>
          <cell r="B114" t="str">
            <v>Varulager</v>
          </cell>
          <cell r="K114">
            <v>24</v>
          </cell>
          <cell r="L114">
            <v>-18.5</v>
          </cell>
          <cell r="M114">
            <v>-27.1</v>
          </cell>
          <cell r="N114">
            <v>-7.5</v>
          </cell>
          <cell r="O114">
            <v>-22.2</v>
          </cell>
          <cell r="P114">
            <v>-19.7</v>
          </cell>
          <cell r="Q114">
            <v>-27.1</v>
          </cell>
          <cell r="R114">
            <v>-7.5</v>
          </cell>
          <cell r="S114">
            <v>29.5</v>
          </cell>
          <cell r="T114">
            <v>31.3</v>
          </cell>
          <cell r="U114">
            <v>8.3000000000000007</v>
          </cell>
          <cell r="V114">
            <v>25.6</v>
          </cell>
          <cell r="W114">
            <v>24</v>
          </cell>
          <cell r="X114">
            <v>-42.5</v>
          </cell>
          <cell r="Y114">
            <v>-8.6000000000000014</v>
          </cell>
          <cell r="Z114">
            <v>19.600000000000001</v>
          </cell>
          <cell r="AA114">
            <v>-22.2</v>
          </cell>
          <cell r="AB114">
            <v>2.5</v>
          </cell>
          <cell r="AC114">
            <v>-7.4000000000000021</v>
          </cell>
          <cell r="AD114">
            <v>19.600000000000001</v>
          </cell>
          <cell r="AE114">
            <v>29.5</v>
          </cell>
          <cell r="AF114">
            <v>1.8000000000000007</v>
          </cell>
          <cell r="AG114">
            <v>-23</v>
          </cell>
          <cell r="AH114">
            <v>17.3</v>
          </cell>
        </row>
        <row r="115">
          <cell r="A115" t="str">
            <v>Operating receivables</v>
          </cell>
          <cell r="B115" t="str">
            <v>Rörelsefordringar</v>
          </cell>
          <cell r="K115">
            <v>-110.3</v>
          </cell>
          <cell r="L115">
            <v>-115.9</v>
          </cell>
          <cell r="M115">
            <v>-96.4</v>
          </cell>
          <cell r="N115">
            <v>-40.5</v>
          </cell>
          <cell r="O115">
            <v>-99.8</v>
          </cell>
          <cell r="P115">
            <v>-134.1</v>
          </cell>
          <cell r="Q115">
            <v>-96.4</v>
          </cell>
          <cell r="R115">
            <v>-40.5</v>
          </cell>
          <cell r="S115">
            <v>-62.3</v>
          </cell>
          <cell r="T115">
            <v>-69.599999999999994</v>
          </cell>
          <cell r="U115">
            <v>-60.3</v>
          </cell>
          <cell r="V115">
            <v>-12.3</v>
          </cell>
          <cell r="W115">
            <v>-110.3</v>
          </cell>
          <cell r="X115">
            <v>-5.6000000000000085</v>
          </cell>
          <cell r="Y115">
            <v>19.5</v>
          </cell>
          <cell r="Z115">
            <v>55.900000000000006</v>
          </cell>
          <cell r="AA115">
            <v>-99.8</v>
          </cell>
          <cell r="AB115">
            <v>-34.299999999999997</v>
          </cell>
          <cell r="AC115">
            <v>37.699999999999989</v>
          </cell>
          <cell r="AD115">
            <v>55.900000000000006</v>
          </cell>
          <cell r="AE115">
            <v>-62.3</v>
          </cell>
          <cell r="AF115">
            <v>-7.2999999999999972</v>
          </cell>
          <cell r="AG115">
            <v>9.2999999999999972</v>
          </cell>
          <cell r="AH115">
            <v>48</v>
          </cell>
        </row>
        <row r="116">
          <cell r="A116" t="str">
            <v>Operating liabilities</v>
          </cell>
          <cell r="B116" t="str">
            <v>Rörelseskulder</v>
          </cell>
          <cell r="K116">
            <v>70.7</v>
          </cell>
          <cell r="L116">
            <v>79.5</v>
          </cell>
          <cell r="M116">
            <v>-0.6</v>
          </cell>
          <cell r="N116">
            <v>-77.8</v>
          </cell>
          <cell r="O116">
            <v>77.099999999999994</v>
          </cell>
          <cell r="P116">
            <v>79.7</v>
          </cell>
          <cell r="Q116">
            <v>-0.6</v>
          </cell>
          <cell r="R116">
            <v>-77.8</v>
          </cell>
          <cell r="S116">
            <v>14.4</v>
          </cell>
          <cell r="T116">
            <v>17.399999999999999</v>
          </cell>
          <cell r="U116">
            <v>-66.3</v>
          </cell>
          <cell r="V116">
            <v>-144.30000000000001</v>
          </cell>
          <cell r="W116">
            <v>70.7</v>
          </cell>
          <cell r="X116">
            <v>8.7999999999999972</v>
          </cell>
          <cell r="Y116">
            <v>-80.099999999999994</v>
          </cell>
          <cell r="Z116">
            <v>-77.2</v>
          </cell>
          <cell r="AA116">
            <v>77.099999999999994</v>
          </cell>
          <cell r="AB116">
            <v>2.6000000000000085</v>
          </cell>
          <cell r="AC116">
            <v>-80.3</v>
          </cell>
          <cell r="AD116">
            <v>-77.2</v>
          </cell>
          <cell r="AE116">
            <v>14.4</v>
          </cell>
          <cell r="AF116">
            <v>2.9999999999999982</v>
          </cell>
          <cell r="AG116">
            <v>-83.699999999999989</v>
          </cell>
          <cell r="AH116">
            <v>-78.000000000000014</v>
          </cell>
        </row>
        <row r="117">
          <cell r="A117" t="str">
            <v>Cash flow from operating activities</v>
          </cell>
          <cell r="B117" t="str">
            <v>Kassaflöde från den löpande verksamheten</v>
          </cell>
          <cell r="K117">
            <v>46.799999999999983</v>
          </cell>
          <cell r="L117">
            <v>110.69999999999999</v>
          </cell>
          <cell r="M117">
            <v>18.099999999999987</v>
          </cell>
          <cell r="N117">
            <v>11.200000000000088</v>
          </cell>
          <cell r="O117">
            <v>16.20000000000006</v>
          </cell>
          <cell r="P117">
            <v>30.399999999999935</v>
          </cell>
          <cell r="Q117">
            <v>18.099999999999987</v>
          </cell>
          <cell r="R117">
            <v>11.200000000000088</v>
          </cell>
          <cell r="S117">
            <v>35.400000000000041</v>
          </cell>
          <cell r="T117">
            <v>98.600000000000136</v>
          </cell>
          <cell r="U117">
            <v>50.999999999999915</v>
          </cell>
          <cell r="V117">
            <v>90.000000000000142</v>
          </cell>
          <cell r="W117">
            <v>46.799999999999983</v>
          </cell>
          <cell r="X117">
            <v>63.900000000000006</v>
          </cell>
          <cell r="Y117">
            <v>-92.6</v>
          </cell>
          <cell r="Z117">
            <v>-6.8999999999998991</v>
          </cell>
          <cell r="AA117">
            <v>16.20000000000006</v>
          </cell>
          <cell r="AB117">
            <v>14.199999999999875</v>
          </cell>
          <cell r="AC117">
            <v>-12.299999999999947</v>
          </cell>
          <cell r="AD117">
            <v>-6.8999999999998991</v>
          </cell>
          <cell r="AE117">
            <v>35.400000000000041</v>
          </cell>
          <cell r="AF117">
            <v>63.200000000000095</v>
          </cell>
          <cell r="AG117">
            <v>-47.600000000000222</v>
          </cell>
          <cell r="AH117">
            <v>39.000000000000227</v>
          </cell>
        </row>
        <row r="118">
          <cell r="W118"/>
          <cell r="X118"/>
          <cell r="Y118"/>
          <cell r="Z118"/>
          <cell r="AA118"/>
          <cell r="AB118"/>
          <cell r="AC118"/>
          <cell r="AD118"/>
          <cell r="AE118"/>
          <cell r="AF118"/>
          <cell r="AG118"/>
          <cell r="AH118"/>
        </row>
        <row r="119">
          <cell r="A119" t="str">
            <v>Acquisition of property. plant and equipment</v>
          </cell>
          <cell r="B119" t="str">
            <v>Investeringar i anläggningstillgångar</v>
          </cell>
          <cell r="K119">
            <v>-12</v>
          </cell>
          <cell r="L119">
            <v>-25</v>
          </cell>
          <cell r="M119">
            <v>-61.7</v>
          </cell>
          <cell r="N119">
            <v>-82.9</v>
          </cell>
          <cell r="O119">
            <v>-23.6</v>
          </cell>
          <cell r="P119">
            <v>-48.1</v>
          </cell>
          <cell r="Q119">
            <v>-61.7</v>
          </cell>
          <cell r="R119">
            <v>-82.9</v>
          </cell>
          <cell r="S119">
            <v>-14</v>
          </cell>
          <cell r="T119">
            <v>-28.1</v>
          </cell>
          <cell r="U119">
            <v>-55.9</v>
          </cell>
          <cell r="V119">
            <v>-66.2</v>
          </cell>
          <cell r="W119">
            <v>-12</v>
          </cell>
          <cell r="X119">
            <v>-13</v>
          </cell>
          <cell r="Y119">
            <v>-36.700000000000003</v>
          </cell>
          <cell r="Z119">
            <v>-21.200000000000003</v>
          </cell>
          <cell r="AA119">
            <v>-23.6</v>
          </cell>
          <cell r="AB119">
            <v>-24.5</v>
          </cell>
          <cell r="AC119">
            <v>-13.600000000000001</v>
          </cell>
          <cell r="AD119">
            <v>-21.200000000000003</v>
          </cell>
          <cell r="AE119">
            <v>-14</v>
          </cell>
          <cell r="AF119">
            <v>-14.100000000000001</v>
          </cell>
          <cell r="AG119">
            <v>-27.799999999999997</v>
          </cell>
          <cell r="AH119">
            <v>-10.300000000000004</v>
          </cell>
        </row>
        <row r="120">
          <cell r="A120" t="str">
            <v>Sale of property, plant and equipment</v>
          </cell>
          <cell r="B120" t="str">
            <v>Försäljning av anläggningstillgångar</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row>
        <row r="121">
          <cell r="A121" t="str">
            <v>Cash flow from investing activities</v>
          </cell>
          <cell r="B121" t="str">
            <v>Kassaflöde från investeringsverksamheten</v>
          </cell>
          <cell r="K121">
            <v>-12</v>
          </cell>
          <cell r="L121">
            <v>-25</v>
          </cell>
          <cell r="M121">
            <v>-61.7</v>
          </cell>
          <cell r="N121">
            <v>-82.9</v>
          </cell>
          <cell r="O121">
            <v>-23.6</v>
          </cell>
          <cell r="P121">
            <v>-48.1</v>
          </cell>
          <cell r="Q121">
            <v>-61.7</v>
          </cell>
          <cell r="R121">
            <v>-82.9</v>
          </cell>
          <cell r="S121">
            <v>-14</v>
          </cell>
          <cell r="T121">
            <v>-28.1</v>
          </cell>
          <cell r="U121">
            <v>-55.9</v>
          </cell>
          <cell r="V121">
            <v>-66.2</v>
          </cell>
          <cell r="W121">
            <v>-12</v>
          </cell>
          <cell r="X121">
            <v>-13</v>
          </cell>
          <cell r="Y121">
            <v>-36.700000000000003</v>
          </cell>
          <cell r="Z121">
            <v>-21.200000000000003</v>
          </cell>
          <cell r="AA121">
            <v>-23.6</v>
          </cell>
          <cell r="AB121">
            <v>-24.5</v>
          </cell>
          <cell r="AC121">
            <v>-13.600000000000001</v>
          </cell>
          <cell r="AD121">
            <v>-21.200000000000003</v>
          </cell>
          <cell r="AE121">
            <v>-14</v>
          </cell>
          <cell r="AF121">
            <v>-14.100000000000001</v>
          </cell>
          <cell r="AG121">
            <v>-27.799999999999997</v>
          </cell>
          <cell r="AH121">
            <v>-10.300000000000004</v>
          </cell>
        </row>
        <row r="122">
          <cell r="W122"/>
          <cell r="X122"/>
          <cell r="Y122"/>
          <cell r="Z122"/>
          <cell r="AA122"/>
          <cell r="AB122"/>
          <cell r="AC122"/>
          <cell r="AD122"/>
          <cell r="AE122"/>
          <cell r="AF122"/>
          <cell r="AG122"/>
          <cell r="AH122"/>
        </row>
        <row r="123">
          <cell r="A123" t="str">
            <v>Rights issue/Shareholder contributions 1)</v>
          </cell>
          <cell r="B123" t="str">
            <v>Nyemission/Aktieägartillskott</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row>
        <row r="124">
          <cell r="A124" t="str">
            <v>Dividend</v>
          </cell>
          <cell r="B124" t="str">
            <v>Utdelning</v>
          </cell>
          <cell r="K124">
            <v>-8.6</v>
          </cell>
          <cell r="L124">
            <v>-8.6</v>
          </cell>
          <cell r="M124">
            <v>-42.2</v>
          </cell>
          <cell r="N124">
            <v>-42.2</v>
          </cell>
          <cell r="O124">
            <v>-5.2</v>
          </cell>
          <cell r="P124">
            <v>-42.2</v>
          </cell>
          <cell r="Q124">
            <v>-42.2</v>
          </cell>
          <cell r="R124">
            <v>-42.2</v>
          </cell>
          <cell r="S124">
            <v>0</v>
          </cell>
          <cell r="T124">
            <v>-37</v>
          </cell>
          <cell r="U124">
            <v>-43.9</v>
          </cell>
          <cell r="V124">
            <v>-43.9</v>
          </cell>
          <cell r="W124">
            <v>-8.6</v>
          </cell>
          <cell r="X124">
            <v>0</v>
          </cell>
          <cell r="Y124">
            <v>-33.6</v>
          </cell>
          <cell r="Z124">
            <v>0</v>
          </cell>
          <cell r="AA124">
            <v>-5.2</v>
          </cell>
          <cell r="AB124">
            <v>-37</v>
          </cell>
          <cell r="AC124">
            <v>0</v>
          </cell>
          <cell r="AD124">
            <v>0</v>
          </cell>
          <cell r="AE124">
            <v>0</v>
          </cell>
          <cell r="AF124">
            <v>-37</v>
          </cell>
          <cell r="AG124">
            <v>-6.8999999999999986</v>
          </cell>
          <cell r="AH124">
            <v>0</v>
          </cell>
        </row>
        <row r="125">
          <cell r="A125" t="str">
            <v>Loans raised</v>
          </cell>
          <cell r="B125" t="str">
            <v>Upptagna lån</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row>
        <row r="126">
          <cell r="A126" t="str">
            <v>Change in bank overdraft facility utilized</v>
          </cell>
          <cell r="B126" t="str">
            <v>Förändring av checkkredit</v>
          </cell>
          <cell r="H126">
            <v>-17.499999999999986</v>
          </cell>
          <cell r="K126">
            <v>-32.5</v>
          </cell>
          <cell r="L126">
            <v>-98.3</v>
          </cell>
          <cell r="M126">
            <v>94.8</v>
          </cell>
          <cell r="N126">
            <v>124.2</v>
          </cell>
          <cell r="O126">
            <v>0</v>
          </cell>
          <cell r="P126">
            <v>43.4</v>
          </cell>
          <cell r="Q126">
            <v>94.8</v>
          </cell>
          <cell r="R126">
            <v>124.2</v>
          </cell>
          <cell r="S126">
            <v>0</v>
          </cell>
          <cell r="T126">
            <v>0</v>
          </cell>
          <cell r="U126">
            <v>0</v>
          </cell>
          <cell r="V126">
            <v>0</v>
          </cell>
          <cell r="W126">
            <v>-32.5</v>
          </cell>
          <cell r="X126">
            <v>-65.8</v>
          </cell>
          <cell r="Y126">
            <v>193.1</v>
          </cell>
          <cell r="Z126">
            <v>29.400000000000006</v>
          </cell>
          <cell r="AA126">
            <v>0</v>
          </cell>
          <cell r="AB126">
            <v>43.4</v>
          </cell>
          <cell r="AC126">
            <v>51.4</v>
          </cell>
          <cell r="AD126">
            <v>29.400000000000006</v>
          </cell>
          <cell r="AE126">
            <v>0</v>
          </cell>
          <cell r="AF126">
            <v>0</v>
          </cell>
          <cell r="AG126">
            <v>0</v>
          </cell>
          <cell r="AH126">
            <v>0</v>
          </cell>
        </row>
        <row r="127">
          <cell r="A127" t="str">
            <v>Repayment of loans</v>
          </cell>
          <cell r="B127" t="str">
            <v>Amortering av lån</v>
          </cell>
          <cell r="K127">
            <v>-4</v>
          </cell>
          <cell r="L127">
            <v>-8</v>
          </cell>
          <cell r="M127">
            <v>-12.3</v>
          </cell>
          <cell r="N127">
            <v>-16.399999999999999</v>
          </cell>
          <cell r="O127">
            <v>-4.0999999999999996</v>
          </cell>
          <cell r="P127">
            <v>-8.1999999999999993</v>
          </cell>
          <cell r="Q127">
            <v>-12.3</v>
          </cell>
          <cell r="R127">
            <v>-16.399999999999999</v>
          </cell>
          <cell r="S127">
            <v>-4.5999999999999996</v>
          </cell>
          <cell r="T127">
            <v>-9.3000000000000007</v>
          </cell>
          <cell r="U127">
            <v>-14</v>
          </cell>
          <cell r="V127">
            <v>-18.7</v>
          </cell>
          <cell r="W127">
            <v>-4</v>
          </cell>
          <cell r="X127">
            <v>-4</v>
          </cell>
          <cell r="Y127">
            <v>-4.3000000000000007</v>
          </cell>
          <cell r="Z127">
            <v>-4.0999999999999979</v>
          </cell>
          <cell r="AA127">
            <v>-4.0999999999999996</v>
          </cell>
          <cell r="AB127">
            <v>-4.0999999999999996</v>
          </cell>
          <cell r="AC127">
            <v>-4.1000000000000014</v>
          </cell>
          <cell r="AD127">
            <v>-4.0999999999999979</v>
          </cell>
          <cell r="AE127">
            <v>-4.5999999999999996</v>
          </cell>
          <cell r="AF127">
            <v>-4.7000000000000011</v>
          </cell>
          <cell r="AG127">
            <v>-4.6999999999999993</v>
          </cell>
          <cell r="AH127">
            <v>-4.6999999999999993</v>
          </cell>
        </row>
        <row r="128">
          <cell r="A128" t="str">
            <v>Repayment of lease debts</v>
          </cell>
          <cell r="B128" t="str">
            <v>Amortering av leasingskuld</v>
          </cell>
          <cell r="K128">
            <v>-2.7</v>
          </cell>
          <cell r="L128">
            <v>-6.1</v>
          </cell>
          <cell r="M128">
            <v>-8.8000000000000007</v>
          </cell>
          <cell r="N128">
            <v>-12.3</v>
          </cell>
          <cell r="O128">
            <v>-2.1</v>
          </cell>
          <cell r="P128">
            <v>-5.4</v>
          </cell>
          <cell r="Q128">
            <v>-8.8000000000000007</v>
          </cell>
          <cell r="R128">
            <v>-12.3</v>
          </cell>
          <cell r="S128">
            <v>-3.3</v>
          </cell>
          <cell r="T128">
            <v>-6</v>
          </cell>
          <cell r="U128">
            <v>-9.3000000000000007</v>
          </cell>
          <cell r="V128">
            <v>-13.6</v>
          </cell>
          <cell r="W128">
            <v>-2.7</v>
          </cell>
          <cell r="X128">
            <v>-3.3999999999999995</v>
          </cell>
          <cell r="Y128">
            <v>-2.7000000000000011</v>
          </cell>
          <cell r="Z128">
            <v>-3.5</v>
          </cell>
          <cell r="AA128">
            <v>-2.1</v>
          </cell>
          <cell r="AB128">
            <v>-3.3000000000000003</v>
          </cell>
          <cell r="AC128">
            <v>-3.4000000000000004</v>
          </cell>
          <cell r="AD128">
            <v>-3.5</v>
          </cell>
          <cell r="AE128">
            <v>-3.3</v>
          </cell>
          <cell r="AF128">
            <v>-2.7</v>
          </cell>
          <cell r="AG128">
            <v>-3.3000000000000007</v>
          </cell>
          <cell r="AH128">
            <v>-4.2999999999999989</v>
          </cell>
        </row>
        <row r="129">
          <cell r="A129" t="str">
            <v>Cash flow from financing activities</v>
          </cell>
          <cell r="B129" t="str">
            <v>Kassaflöde från finansieringsverksamheten</v>
          </cell>
          <cell r="K129">
            <v>-47.800000000000004</v>
          </cell>
          <cell r="L129">
            <v>-120.99999999999999</v>
          </cell>
          <cell r="M129">
            <v>31.499999999999996</v>
          </cell>
          <cell r="N129">
            <v>53.3</v>
          </cell>
          <cell r="O129">
            <v>-11.4</v>
          </cell>
          <cell r="P129">
            <v>-12.400000000000004</v>
          </cell>
          <cell r="Q129">
            <v>31.499999999999996</v>
          </cell>
          <cell r="R129">
            <v>53.3</v>
          </cell>
          <cell r="S129">
            <v>-7.8999999999999995</v>
          </cell>
          <cell r="T129">
            <v>-52.3</v>
          </cell>
          <cell r="U129">
            <v>-67.2</v>
          </cell>
          <cell r="V129">
            <v>-76.199999999999989</v>
          </cell>
          <cell r="W129">
            <v>-47.800000000000004</v>
          </cell>
          <cell r="X129">
            <v>-73.199999999999989</v>
          </cell>
          <cell r="Y129">
            <v>152.49999999999997</v>
          </cell>
          <cell r="Z129">
            <v>21.8</v>
          </cell>
          <cell r="AA129">
            <v>-11.4</v>
          </cell>
          <cell r="AB129">
            <v>-1.0000000000000036</v>
          </cell>
          <cell r="AC129">
            <v>43.9</v>
          </cell>
          <cell r="AD129">
            <v>21.8</v>
          </cell>
          <cell r="AE129">
            <v>-7.8999999999999995</v>
          </cell>
          <cell r="AF129">
            <v>-44.4</v>
          </cell>
          <cell r="AG129">
            <v>-14.900000000000006</v>
          </cell>
          <cell r="AH129">
            <v>-8.9999999999999858</v>
          </cell>
        </row>
        <row r="130">
          <cell r="A130" t="str">
            <v>Cash flow for the period</v>
          </cell>
          <cell r="B130" t="str">
            <v>Periodens kassaflöde</v>
          </cell>
          <cell r="K130">
            <v>-13.000000000000021</v>
          </cell>
          <cell r="L130">
            <v>-35.299999999999997</v>
          </cell>
          <cell r="M130">
            <v>-12.100000000000019</v>
          </cell>
          <cell r="N130">
            <v>-18.39999999999992</v>
          </cell>
          <cell r="O130">
            <v>-18.79999999999994</v>
          </cell>
          <cell r="P130">
            <v>-30.100000000000072</v>
          </cell>
          <cell r="Q130">
            <v>-12.100000000000019</v>
          </cell>
          <cell r="R130">
            <v>-18.39999999999992</v>
          </cell>
          <cell r="S130">
            <v>13.500000000000043</v>
          </cell>
          <cell r="T130">
            <v>18.200000000000145</v>
          </cell>
          <cell r="U130">
            <v>-72.10000000000008</v>
          </cell>
          <cell r="V130">
            <v>-52.399999999999849</v>
          </cell>
          <cell r="W130">
            <v>-13.000000000000021</v>
          </cell>
          <cell r="X130">
            <v>-22.299999999999976</v>
          </cell>
          <cell r="Y130">
            <v>23.199999999999978</v>
          </cell>
          <cell r="Z130">
            <v>-6.2999999999999012</v>
          </cell>
          <cell r="AA130">
            <v>-18.79999999999994</v>
          </cell>
          <cell r="AB130">
            <v>-11.300000000000132</v>
          </cell>
          <cell r="AC130">
            <v>18.000000000000053</v>
          </cell>
          <cell r="AD130">
            <v>-6.2999999999999012</v>
          </cell>
          <cell r="AE130">
            <v>13.500000000000043</v>
          </cell>
          <cell r="AF130">
            <v>4.7000000000001023</v>
          </cell>
          <cell r="AG130">
            <v>-90.300000000000225</v>
          </cell>
          <cell r="AH130">
            <v>19.70000000000023</v>
          </cell>
        </row>
        <row r="131">
          <cell r="W131"/>
          <cell r="X131"/>
          <cell r="Y131"/>
          <cell r="Z131"/>
          <cell r="AA131"/>
          <cell r="AB131"/>
          <cell r="AC131"/>
          <cell r="AD131"/>
          <cell r="AE131"/>
          <cell r="AF131"/>
          <cell r="AG131"/>
          <cell r="AH131"/>
        </row>
        <row r="132">
          <cell r="A132" t="str">
            <v>Liquid assets, opening balance</v>
          </cell>
          <cell r="B132" t="str">
            <v>Likvida medel vid periodens början</v>
          </cell>
          <cell r="K132">
            <v>49.99999999999973</v>
          </cell>
          <cell r="L132">
            <v>50</v>
          </cell>
          <cell r="M132">
            <v>49.99999999999973</v>
          </cell>
          <cell r="N132">
            <v>49.99999999999973</v>
          </cell>
          <cell r="O132">
            <v>68.699999999999648</v>
          </cell>
          <cell r="P132">
            <v>68.699999999999648</v>
          </cell>
          <cell r="Q132">
            <v>68.699999999999648</v>
          </cell>
          <cell r="R132">
            <v>68.699999999999648</v>
          </cell>
          <cell r="S132">
            <v>120.89999999999949</v>
          </cell>
          <cell r="T132">
            <v>120.89999999999949</v>
          </cell>
          <cell r="U132">
            <v>120.89999999999949</v>
          </cell>
          <cell r="V132">
            <v>120.89999999999949</v>
          </cell>
          <cell r="W132">
            <v>49.99999999999973</v>
          </cell>
          <cell r="X132">
            <v>36.999999999999709</v>
          </cell>
          <cell r="Y132">
            <v>14.699999999999733</v>
          </cell>
          <cell r="Z132">
            <v>37.799999999999706</v>
          </cell>
          <cell r="AA132">
            <v>68.699999999999648</v>
          </cell>
          <cell r="AB132">
            <v>49.899999999999707</v>
          </cell>
          <cell r="AC132">
            <v>38.499999999999574</v>
          </cell>
          <cell r="AD132">
            <v>56.499999999999631</v>
          </cell>
          <cell r="AE132">
            <v>120.89999999999949</v>
          </cell>
          <cell r="AF132">
            <v>136.19999999999953</v>
          </cell>
          <cell r="AG132">
            <v>140.99999999999963</v>
          </cell>
          <cell r="AH132">
            <v>49.099999999999405</v>
          </cell>
        </row>
        <row r="133">
          <cell r="A133" t="str">
            <v>Translation differences in liquid assets</v>
          </cell>
          <cell r="B133" t="str">
            <v>Kursdifferens i likvida medel</v>
          </cell>
          <cell r="K133">
            <v>0</v>
          </cell>
          <cell r="L133">
            <v>0</v>
          </cell>
          <cell r="M133">
            <v>-0.1</v>
          </cell>
          <cell r="N133">
            <v>-0.3</v>
          </cell>
          <cell r="O133">
            <v>0</v>
          </cell>
          <cell r="P133">
            <v>-0.1</v>
          </cell>
          <cell r="Q133">
            <v>-0.1</v>
          </cell>
          <cell r="R133">
            <v>-0.3</v>
          </cell>
          <cell r="S133">
            <v>1.8</v>
          </cell>
          <cell r="T133">
            <v>1.9</v>
          </cell>
          <cell r="U133">
            <v>0.3</v>
          </cell>
          <cell r="V133">
            <v>0.2</v>
          </cell>
          <cell r="W133">
            <v>0</v>
          </cell>
          <cell r="X133">
            <v>0</v>
          </cell>
          <cell r="Y133">
            <v>-0.1</v>
          </cell>
          <cell r="Z133">
            <v>-0.19999999999999998</v>
          </cell>
          <cell r="AA133">
            <v>0</v>
          </cell>
          <cell r="AB133">
            <v>-0.1</v>
          </cell>
          <cell r="AC133">
            <v>0</v>
          </cell>
          <cell r="AD133">
            <v>-0.19999999999999998</v>
          </cell>
          <cell r="AE133">
            <v>1.8</v>
          </cell>
          <cell r="AF133">
            <v>9.9999999999999867E-2</v>
          </cell>
          <cell r="AG133">
            <v>-1.5999999999999999</v>
          </cell>
          <cell r="AH133">
            <v>-9.9999999999999978E-2</v>
          </cell>
        </row>
        <row r="134">
          <cell r="A134" t="str">
            <v>Liquid assets, closing balance</v>
          </cell>
          <cell r="B134" t="str">
            <v>Likvida medel vid periodens slut</v>
          </cell>
          <cell r="K134">
            <v>36.999999999999709</v>
          </cell>
          <cell r="L134">
            <v>14.700000000000003</v>
          </cell>
          <cell r="M134">
            <v>37.799999999999706</v>
          </cell>
          <cell r="N134">
            <v>31.299999999999809</v>
          </cell>
          <cell r="O134">
            <v>49.899999999999707</v>
          </cell>
          <cell r="P134">
            <v>38.499999999999574</v>
          </cell>
          <cell r="Q134">
            <v>56.499999999999623</v>
          </cell>
          <cell r="R134">
            <v>49.99999999999973</v>
          </cell>
          <cell r="S134">
            <v>136.19999999999953</v>
          </cell>
          <cell r="T134">
            <v>140.99999999999963</v>
          </cell>
          <cell r="U134">
            <v>49.099999999999412</v>
          </cell>
          <cell r="V134">
            <v>68.699999999999648</v>
          </cell>
          <cell r="W134">
            <v>36.999999999999709</v>
          </cell>
          <cell r="X134">
            <v>14.699999999999733</v>
          </cell>
          <cell r="Y134">
            <v>37.799999999999706</v>
          </cell>
          <cell r="Z134">
            <v>31.299999999999805</v>
          </cell>
          <cell r="AA134">
            <v>49.899999999999707</v>
          </cell>
          <cell r="AB134">
            <v>38.499999999999574</v>
          </cell>
          <cell r="AC134">
            <v>56.499999999999631</v>
          </cell>
          <cell r="AD134">
            <v>49.99999999999973</v>
          </cell>
          <cell r="AE134">
            <v>136.19999999999953</v>
          </cell>
          <cell r="AF134">
            <v>140.99999999999963</v>
          </cell>
          <cell r="AG134">
            <v>49.099999999999405</v>
          </cell>
          <cell r="AH134">
            <v>68.699999999999648</v>
          </cell>
        </row>
        <row r="135">
          <cell r="A135" t="str">
            <v>Liquidity reserve</v>
          </cell>
          <cell r="B135" t="str">
            <v>Likviditetsreserv</v>
          </cell>
          <cell r="K135">
            <v>151.30000000000001</v>
          </cell>
          <cell r="L135">
            <v>196.5</v>
          </cell>
          <cell r="M135">
            <v>172.3</v>
          </cell>
          <cell r="N135">
            <v>134</v>
          </cell>
          <cell r="O135">
            <v>254.6</v>
          </cell>
          <cell r="P135">
            <v>203</v>
          </cell>
          <cell r="Q135">
            <v>172.3</v>
          </cell>
          <cell r="R135">
            <v>134</v>
          </cell>
          <cell r="S135">
            <v>328.9</v>
          </cell>
          <cell r="T135">
            <v>341.4</v>
          </cell>
          <cell r="U135">
            <v>251.7</v>
          </cell>
          <cell r="V135">
            <v>273.2</v>
          </cell>
          <cell r="W135"/>
          <cell r="X135"/>
          <cell r="Y135"/>
          <cell r="Z135"/>
          <cell r="AA135"/>
          <cell r="AB135"/>
          <cell r="AC135"/>
          <cell r="AD135"/>
          <cell r="AE135"/>
          <cell r="AF135"/>
          <cell r="AG135"/>
          <cell r="AH135"/>
        </row>
        <row r="136">
          <cell r="A136" t="str">
            <v>Cashflow from discontinued operations</v>
          </cell>
          <cell r="B136" t="str">
            <v>Kassaflöde från avvecklad verksamhet</v>
          </cell>
          <cell r="K136">
            <v>31.2</v>
          </cell>
          <cell r="L136">
            <v>33.704999999999998</v>
          </cell>
          <cell r="M136">
            <v>-67.099999999999994</v>
          </cell>
          <cell r="N136">
            <v>-72.5</v>
          </cell>
          <cell r="O136">
            <v>-14.4</v>
          </cell>
          <cell r="P136">
            <v>-49.1</v>
          </cell>
          <cell r="Q136">
            <v>-67.099999999999994</v>
          </cell>
          <cell r="R136">
            <v>-72.5</v>
          </cell>
          <cell r="S136"/>
          <cell r="T136"/>
          <cell r="U136"/>
          <cell r="V136"/>
          <cell r="W136">
            <v>31.2</v>
          </cell>
          <cell r="X136">
            <v>2.504999999999999</v>
          </cell>
          <cell r="Y136">
            <v>-100.80499999999999</v>
          </cell>
          <cell r="Z136">
            <v>-5.4000000000000057</v>
          </cell>
          <cell r="AA136">
            <v>-14.4</v>
          </cell>
          <cell r="AB136">
            <v>-34.700000000000003</v>
          </cell>
          <cell r="AC136">
            <v>-17.999999999999993</v>
          </cell>
          <cell r="AD136">
            <v>-5.4000000000000057</v>
          </cell>
          <cell r="AE136"/>
          <cell r="AF136"/>
          <cell r="AG136"/>
          <cell r="AH136"/>
        </row>
        <row r="137">
          <cell r="A137" t="str">
            <v>Liquid assets in discontinued operations, closing balance</v>
          </cell>
          <cell r="B137" t="str">
            <v>Likvida medel i avvecklad verksamhet vid periodens slut</v>
          </cell>
          <cell r="K137">
            <v>6.6</v>
          </cell>
          <cell r="L137">
            <v>3.3</v>
          </cell>
          <cell r="M137">
            <v>21.2</v>
          </cell>
          <cell r="N137">
            <v>11.5</v>
          </cell>
          <cell r="O137">
            <v>12</v>
          </cell>
          <cell r="P137">
            <v>7.3</v>
          </cell>
          <cell r="Q137">
            <v>21.2</v>
          </cell>
          <cell r="R137">
            <v>11.5</v>
          </cell>
          <cell r="S137"/>
          <cell r="T137"/>
          <cell r="U137"/>
          <cell r="V137"/>
          <cell r="W137">
            <v>6.6</v>
          </cell>
          <cell r="X137">
            <v>3.3</v>
          </cell>
          <cell r="Y137">
            <v>21.2</v>
          </cell>
          <cell r="Z137">
            <v>11.5</v>
          </cell>
          <cell r="AA137">
            <v>12</v>
          </cell>
          <cell r="AB137">
            <v>7.3</v>
          </cell>
          <cell r="AC137">
            <v>21.2</v>
          </cell>
          <cell r="AD137">
            <v>11.5</v>
          </cell>
          <cell r="AE137"/>
          <cell r="AF137"/>
          <cell r="AG137"/>
          <cell r="AH137"/>
        </row>
        <row r="140">
          <cell r="B140" t="str">
            <v>Nyckeltal</v>
          </cell>
        </row>
        <row r="141">
          <cell r="D141" t="str">
            <v>Kvartal 2</v>
          </cell>
          <cell r="E141" t="str">
            <v>Kvartal 2</v>
          </cell>
          <cell r="F141" t="str">
            <v>Kvartal 1-2</v>
          </cell>
          <cell r="G141" t="str">
            <v>Kvartal 1-2</v>
          </cell>
          <cell r="H141" t="str">
            <v>12 mån</v>
          </cell>
        </row>
        <row r="142">
          <cell r="D142">
            <v>2026</v>
          </cell>
          <cell r="E142">
            <v>2025</v>
          </cell>
          <cell r="F142">
            <v>2026</v>
          </cell>
          <cell r="G142">
            <v>2025</v>
          </cell>
          <cell r="H142" t="str">
            <v>rullande</v>
          </cell>
          <cell r="I142">
            <v>2025</v>
          </cell>
        </row>
        <row r="144">
          <cell r="D144">
            <v>114.10000000000005</v>
          </cell>
          <cell r="E144">
            <v>63.199999999999847</v>
          </cell>
          <cell r="F144">
            <v>186.50000000000006</v>
          </cell>
          <cell r="G144">
            <v>142.59999999999991</v>
          </cell>
          <cell r="H144">
            <v>281.2</v>
          </cell>
          <cell r="K144">
            <v>72.399999999999991</v>
          </cell>
          <cell r="L144">
            <v>186.50000000000006</v>
          </cell>
          <cell r="M144">
            <v>193.9</v>
          </cell>
          <cell r="N144">
            <v>237.30000000000013</v>
          </cell>
          <cell r="O144">
            <v>79.400000000000063</v>
          </cell>
          <cell r="P144">
            <v>142.59999999999991</v>
          </cell>
          <cell r="Q144">
            <v>193.9</v>
          </cell>
          <cell r="R144">
            <v>237.30000000000013</v>
          </cell>
          <cell r="S144">
            <v>66.500000000000043</v>
          </cell>
          <cell r="T144">
            <v>144.90000000000009</v>
          </cell>
          <cell r="U144">
            <v>201.59999999999991</v>
          </cell>
          <cell r="V144">
            <v>252.20000000000016</v>
          </cell>
          <cell r="W144">
            <v>72.399999999999991</v>
          </cell>
          <cell r="X144">
            <v>114.10000000000005</v>
          </cell>
          <cell r="Y144">
            <v>7.3999999999999577</v>
          </cell>
          <cell r="Z144">
            <v>43.400000000000091</v>
          </cell>
          <cell r="AA144">
            <v>79.400000000000063</v>
          </cell>
          <cell r="AB144">
            <v>63.199999999999847</v>
          </cell>
          <cell r="AC144">
            <v>51.300000000000097</v>
          </cell>
          <cell r="AD144">
            <v>43.400000000000091</v>
          </cell>
          <cell r="AE144">
            <v>66.500000000000043</v>
          </cell>
          <cell r="AF144">
            <v>78.400000000000048</v>
          </cell>
          <cell r="AG144">
            <v>56.699999999999811</v>
          </cell>
          <cell r="AH144">
            <v>50.600000000000229</v>
          </cell>
        </row>
        <row r="145">
          <cell r="A145" t="str">
            <v>Operating income/loss, MSEK</v>
          </cell>
          <cell r="B145" t="str">
            <v>Rörelseresultat, Mkr</v>
          </cell>
          <cell r="D145">
            <v>92.400000000000063</v>
          </cell>
          <cell r="E145">
            <v>40.399999999999849</v>
          </cell>
          <cell r="F145">
            <v>142.80000000000004</v>
          </cell>
          <cell r="G145">
            <v>97.89999999999992</v>
          </cell>
          <cell r="H145">
            <v>193.5</v>
          </cell>
          <cell r="I145">
            <v>148.60000000000011</v>
          </cell>
        </row>
        <row r="146">
          <cell r="A146" t="str">
            <v>Operating margin, %</v>
          </cell>
          <cell r="B146" t="str">
            <v>Rörelsemarginal, %</v>
          </cell>
          <cell r="D146">
            <v>13.494961296918371</v>
          </cell>
          <cell r="E146">
            <v>6.0119047619047405</v>
          </cell>
          <cell r="F146">
            <v>11</v>
          </cell>
          <cell r="G146">
            <v>7.464165904239092</v>
          </cell>
          <cell r="H146">
            <v>8.3675675675675674</v>
          </cell>
          <cell r="I146">
            <v>6.3782298909777699</v>
          </cell>
        </row>
        <row r="147">
          <cell r="A147" t="str">
            <v>Income after financial items, MSEK</v>
          </cell>
          <cell r="B147" t="str">
            <v>Resultat före skatt, Mkr</v>
          </cell>
          <cell r="D147">
            <v>88.100000000000065</v>
          </cell>
          <cell r="E147">
            <v>34.599999999999852</v>
          </cell>
          <cell r="F147">
            <v>135.30000000000004</v>
          </cell>
          <cell r="G147">
            <v>93.499999999999915</v>
          </cell>
          <cell r="H147">
            <v>183.5</v>
          </cell>
          <cell r="I147">
            <v>141.7000000000001</v>
          </cell>
        </row>
        <row r="148">
          <cell r="A148" t="str">
            <v>Profit margin, %</v>
          </cell>
          <cell r="B148" t="str">
            <v>Resultatmarginal, %</v>
          </cell>
          <cell r="D148">
            <v>12.866949028771735</v>
          </cell>
          <cell r="E148">
            <v>5.1488095238095024</v>
          </cell>
          <cell r="F148">
            <v>10.4</v>
          </cell>
          <cell r="G148">
            <v>7.1286977737114912</v>
          </cell>
          <cell r="H148">
            <v>7.9351351351351349</v>
          </cell>
          <cell r="I148">
            <v>6.0820671302257745</v>
          </cell>
        </row>
        <row r="150">
          <cell r="A150" t="str">
            <v>Return on equity, %</v>
          </cell>
        </row>
        <row r="151">
          <cell r="A151" t="str">
            <v>Return on capital employed, %</v>
          </cell>
          <cell r="D151">
            <v>39.1</v>
          </cell>
          <cell r="E151">
            <v>17</v>
          </cell>
          <cell r="F151">
            <v>30</v>
          </cell>
          <cell r="G151">
            <v>23.3</v>
          </cell>
          <cell r="H151">
            <v>21.5</v>
          </cell>
          <cell r="I151">
            <v>17</v>
          </cell>
        </row>
        <row r="153">
          <cell r="W153">
            <v>10.9</v>
          </cell>
          <cell r="X153">
            <v>10.999999999999998</v>
          </cell>
          <cell r="Y153">
            <v>44.800000000000004</v>
          </cell>
          <cell r="Z153">
            <v>12.299999999999997</v>
          </cell>
          <cell r="AA153">
            <v>16.899999999999999</v>
          </cell>
          <cell r="AB153">
            <v>24.9</v>
          </cell>
          <cell r="AC153">
            <v>24.900000000000006</v>
          </cell>
          <cell r="AD153">
            <v>12.299999999999997</v>
          </cell>
          <cell r="AE153">
            <v>15.2</v>
          </cell>
          <cell r="AF153">
            <v>17.500000000000004</v>
          </cell>
          <cell r="AG153">
            <v>23.5</v>
          </cell>
          <cell r="AH153">
            <v>15.599999999999994</v>
          </cell>
        </row>
        <row r="155">
          <cell r="F155">
            <v>196.5</v>
          </cell>
          <cell r="G155">
            <v>203</v>
          </cell>
          <cell r="S155">
            <v>328.9</v>
          </cell>
          <cell r="T155">
            <v>341.4</v>
          </cell>
          <cell r="U155">
            <v>251.7</v>
          </cell>
          <cell r="V155">
            <v>273.2</v>
          </cell>
        </row>
        <row r="156">
          <cell r="F156">
            <v>104</v>
          </cell>
          <cell r="G156">
            <v>116</v>
          </cell>
        </row>
        <row r="157">
          <cell r="F157">
            <v>0.4</v>
          </cell>
          <cell r="G157">
            <v>0.5</v>
          </cell>
        </row>
        <row r="158">
          <cell r="H158" t="str">
            <v>-</v>
          </cell>
          <cell r="I158">
            <v>223.8</v>
          </cell>
        </row>
        <row r="159">
          <cell r="A159" t="str">
            <v>Net debt/equity ratio</v>
          </cell>
          <cell r="B159" t="str">
            <v>Nettoskuldsättningsgrad, ggr</v>
          </cell>
          <cell r="D159" t="str">
            <v>-</v>
          </cell>
          <cell r="E159" t="str">
            <v>-</v>
          </cell>
          <cell r="F159">
            <v>0.13</v>
          </cell>
          <cell r="G159">
            <v>0.17</v>
          </cell>
        </row>
        <row r="161">
          <cell r="A161" t="str">
            <v>Total assets, MSEK</v>
          </cell>
          <cell r="B161" t="str">
            <v>Balansomslutning, Mkr</v>
          </cell>
          <cell r="D161" t="str">
            <v>-</v>
          </cell>
          <cell r="E161" t="str">
            <v>-</v>
          </cell>
          <cell r="F161">
            <v>1478.2</v>
          </cell>
          <cell r="G161">
            <v>1473.3</v>
          </cell>
          <cell r="H161" t="str">
            <v>-</v>
          </cell>
          <cell r="I161">
            <v>1400.6</v>
          </cell>
        </row>
        <row r="162">
          <cell r="A162" t="str">
            <v>Equity ratio, %</v>
          </cell>
          <cell r="B162" t="str">
            <v>Soliditet, %</v>
          </cell>
          <cell r="D162" t="str">
            <v>-</v>
          </cell>
          <cell r="E162" t="str">
            <v>-</v>
          </cell>
          <cell r="F162">
            <v>54.5</v>
          </cell>
          <cell r="G162">
            <v>47.5</v>
          </cell>
          <cell r="H162" t="str">
            <v>-</v>
          </cell>
          <cell r="I162">
            <v>51</v>
          </cell>
        </row>
        <row r="163">
          <cell r="A163" t="str">
            <v>Capital turnover</v>
          </cell>
          <cell r="B163" t="str">
            <v>Kapitalomsättningshastighet, ggr</v>
          </cell>
          <cell r="D163" t="str">
            <v>-</v>
          </cell>
          <cell r="E163" t="str">
            <v>-</v>
          </cell>
          <cell r="F163">
            <v>2.8</v>
          </cell>
          <cell r="G163">
            <v>3.2</v>
          </cell>
          <cell r="H163">
            <v>2.6</v>
          </cell>
          <cell r="I163">
            <v>2.7</v>
          </cell>
        </row>
        <row r="164">
          <cell r="A164" t="str">
            <v>Proportion of risk-bearing capital, %</v>
          </cell>
          <cell r="B164" t="str">
            <v>Andel riskbärande kapital, %</v>
          </cell>
          <cell r="D164" t="str">
            <v>-</v>
          </cell>
          <cell r="E164" t="str">
            <v>-</v>
          </cell>
          <cell r="F164">
            <v>61.1</v>
          </cell>
          <cell r="G164">
            <v>53.8</v>
          </cell>
          <cell r="H164" t="str">
            <v>-</v>
          </cell>
          <cell r="I164">
            <v>57.9</v>
          </cell>
        </row>
        <row r="165">
          <cell r="A165" t="str">
            <v>Interest coverage ratio</v>
          </cell>
          <cell r="B165" t="str">
            <v>Räntetäckningsgrad, ggr</v>
          </cell>
          <cell r="D165">
            <v>38.6</v>
          </cell>
          <cell r="E165">
            <v>26.9</v>
          </cell>
          <cell r="F165">
            <v>32.5</v>
          </cell>
          <cell r="G165">
            <v>33.799999999999997</v>
          </cell>
          <cell r="H165">
            <v>25.1</v>
          </cell>
          <cell r="I165">
            <v>23.9</v>
          </cell>
        </row>
        <row r="167">
          <cell r="W167">
            <v>499</v>
          </cell>
          <cell r="X167">
            <v>498</v>
          </cell>
          <cell r="Y167">
            <v>506</v>
          </cell>
          <cell r="Z167">
            <v>503</v>
          </cell>
          <cell r="AA167">
            <v>492</v>
          </cell>
          <cell r="AB167">
            <v>502</v>
          </cell>
          <cell r="AC167">
            <v>506</v>
          </cell>
          <cell r="AD167">
            <v>503</v>
          </cell>
          <cell r="AE167">
            <v>521</v>
          </cell>
          <cell r="AF167">
            <v>524</v>
          </cell>
          <cell r="AG167">
            <v>518</v>
          </cell>
          <cell r="AH167">
            <v>500</v>
          </cell>
        </row>
        <row r="171">
          <cell r="W171">
            <v>7399</v>
          </cell>
          <cell r="X171">
            <v>7399</v>
          </cell>
          <cell r="Y171">
            <v>7399</v>
          </cell>
          <cell r="Z171">
            <v>7399</v>
          </cell>
          <cell r="AA171">
            <v>7399</v>
          </cell>
          <cell r="AB171">
            <v>7399</v>
          </cell>
          <cell r="AC171">
            <v>7399</v>
          </cell>
          <cell r="AD171">
            <v>7399</v>
          </cell>
          <cell r="AE171">
            <v>7399</v>
          </cell>
          <cell r="AF171">
            <v>7399</v>
          </cell>
          <cell r="AG171">
            <v>7399</v>
          </cell>
          <cell r="AH171">
            <v>7399</v>
          </cell>
        </row>
        <row r="172">
          <cell r="H172">
            <v>7399</v>
          </cell>
          <cell r="I172">
            <v>7399</v>
          </cell>
          <cell r="W172">
            <v>7399</v>
          </cell>
          <cell r="X172">
            <v>7399</v>
          </cell>
          <cell r="Y172">
            <v>7399</v>
          </cell>
          <cell r="Z172">
            <v>7399</v>
          </cell>
          <cell r="AA172">
            <v>7399</v>
          </cell>
          <cell r="AB172">
            <v>7399</v>
          </cell>
          <cell r="AC172">
            <v>7399</v>
          </cell>
          <cell r="AD172">
            <v>7399</v>
          </cell>
          <cell r="AE172">
            <v>7399</v>
          </cell>
          <cell r="AF172">
            <v>7399</v>
          </cell>
          <cell r="AG172">
            <v>7399</v>
          </cell>
          <cell r="AH172">
            <v>7399</v>
          </cell>
        </row>
        <row r="173">
          <cell r="A173" t="str">
            <v>Earnings per share from continuing operations, SEK</v>
          </cell>
          <cell r="D173">
            <v>9.34</v>
          </cell>
          <cell r="E173">
            <v>3.2800000000000011</v>
          </cell>
          <cell r="F173">
            <v>14.16</v>
          </cell>
          <cell r="G173">
            <v>9.3000000000000007</v>
          </cell>
          <cell r="H173"/>
          <cell r="I173">
            <v>14.27</v>
          </cell>
        </row>
        <row r="174">
          <cell r="A174" t="str">
            <v>Earnings per share fom discontinued operations, SEK</v>
          </cell>
          <cell r="D174">
            <v>-8.9999999999999858E-2</v>
          </cell>
          <cell r="E174">
            <v>-1.0200000000000014</v>
          </cell>
          <cell r="F174">
            <v>-0.46000000000000085</v>
          </cell>
          <cell r="G174">
            <v>-1.3900000000000006</v>
          </cell>
          <cell r="H174"/>
          <cell r="I174">
            <v>-4.33</v>
          </cell>
        </row>
        <row r="175">
          <cell r="D175">
            <v>9.25</v>
          </cell>
          <cell r="E175">
            <v>2.2599999999999998</v>
          </cell>
          <cell r="F175">
            <v>13.7</v>
          </cell>
          <cell r="G175">
            <v>7.91</v>
          </cell>
          <cell r="H175">
            <v>15.72</v>
          </cell>
          <cell r="I175">
            <v>9.94</v>
          </cell>
        </row>
        <row r="176">
          <cell r="A176" t="str">
            <v>Equity per share, SEK</v>
          </cell>
          <cell r="B176" t="str">
            <v>Eget kapital per aktie, kr</v>
          </cell>
          <cell r="D176" t="str">
            <v>-</v>
          </cell>
          <cell r="E176" t="str">
            <v>-</v>
          </cell>
          <cell r="F176">
            <v>107.42</v>
          </cell>
          <cell r="G176">
            <v>92.5</v>
          </cell>
        </row>
        <row r="179">
          <cell r="D179"/>
          <cell r="E179"/>
          <cell r="F179"/>
          <cell r="G179"/>
        </row>
        <row r="180">
          <cell r="D180"/>
          <cell r="E180"/>
          <cell r="F180"/>
          <cell r="G180"/>
        </row>
        <row r="181">
          <cell r="D181"/>
          <cell r="E181"/>
          <cell r="F181"/>
          <cell r="G181"/>
        </row>
        <row r="182">
          <cell r="D182"/>
          <cell r="E182"/>
          <cell r="F182"/>
          <cell r="G182"/>
        </row>
        <row r="183">
          <cell r="D183"/>
          <cell r="E183"/>
          <cell r="F183"/>
          <cell r="G183"/>
        </row>
        <row r="184">
          <cell r="E184"/>
        </row>
        <row r="185">
          <cell r="D185"/>
          <cell r="E185"/>
          <cell r="F185"/>
          <cell r="G185"/>
        </row>
        <row r="195">
          <cell r="D195" t="str">
            <v>Kvartal 2</v>
          </cell>
          <cell r="E195" t="str">
            <v>Kvartal 2</v>
          </cell>
          <cell r="F195" t="str">
            <v>Kvartal 1-2</v>
          </cell>
          <cell r="G195" t="str">
            <v>Kvartal 1-2</v>
          </cell>
        </row>
        <row r="196">
          <cell r="A196" t="str">
            <v>MSEK</v>
          </cell>
          <cell r="B196" t="str">
            <v>Mkr</v>
          </cell>
          <cell r="C196" t="str">
            <v>Not</v>
          </cell>
          <cell r="D196">
            <v>2026</v>
          </cell>
          <cell r="E196">
            <v>2025</v>
          </cell>
          <cell r="F196">
            <v>2026</v>
          </cell>
          <cell r="G196">
            <v>2025</v>
          </cell>
        </row>
        <row r="197">
          <cell r="A197" t="str">
            <v xml:space="preserve">Turnover </v>
          </cell>
          <cell r="B197" t="str">
            <v>Intäkter</v>
          </cell>
          <cell r="C197">
            <v>7</v>
          </cell>
          <cell r="K197">
            <v>10.4</v>
          </cell>
          <cell r="L197">
            <v>21.3</v>
          </cell>
          <cell r="M197">
            <v>30.9</v>
          </cell>
          <cell r="N197">
            <v>41.2</v>
          </cell>
          <cell r="O197">
            <v>10.3</v>
          </cell>
          <cell r="P197">
            <v>20.6</v>
          </cell>
          <cell r="Q197">
            <v>30.9</v>
          </cell>
          <cell r="R197">
            <v>41.2</v>
          </cell>
          <cell r="S197">
            <v>10.5</v>
          </cell>
          <cell r="T197">
            <v>21.1</v>
          </cell>
          <cell r="U197">
            <v>31.6</v>
          </cell>
          <cell r="V197">
            <v>42.2</v>
          </cell>
        </row>
        <row r="198">
          <cell r="A198" t="str">
            <v>Real estate costs</v>
          </cell>
          <cell r="B198" t="str">
            <v>Fastighetskostnader</v>
          </cell>
          <cell r="K198">
            <v>-2.4</v>
          </cell>
          <cell r="L198">
            <v>-4.5</v>
          </cell>
          <cell r="M198">
            <v>-6.2</v>
          </cell>
          <cell r="N198">
            <v>-8.1999999999999993</v>
          </cell>
          <cell r="O198">
            <v>-2.2000000000000002</v>
          </cell>
          <cell r="P198">
            <v>-4.3</v>
          </cell>
          <cell r="Q198">
            <v>-6.2</v>
          </cell>
          <cell r="R198">
            <v>-8.1999999999999993</v>
          </cell>
          <cell r="S198">
            <v>-2.1</v>
          </cell>
          <cell r="T198">
            <v>-3.9</v>
          </cell>
          <cell r="U198">
            <v>-6.1</v>
          </cell>
          <cell r="V198">
            <v>-8.5</v>
          </cell>
        </row>
        <row r="199">
          <cell r="A199" t="str">
            <v>Gross Margin</v>
          </cell>
          <cell r="B199" t="str">
            <v>Bruttoresultat</v>
          </cell>
          <cell r="K199">
            <v>8</v>
          </cell>
          <cell r="L199">
            <v>16.8</v>
          </cell>
          <cell r="M199">
            <v>24.7</v>
          </cell>
          <cell r="N199">
            <v>33</v>
          </cell>
          <cell r="O199">
            <v>8.1000000000000014</v>
          </cell>
          <cell r="P199">
            <v>16.3</v>
          </cell>
          <cell r="Q199">
            <v>24.7</v>
          </cell>
          <cell r="R199">
            <v>33</v>
          </cell>
          <cell r="S199">
            <v>8.4</v>
          </cell>
          <cell r="T199">
            <v>17.200000000000003</v>
          </cell>
          <cell r="U199">
            <v>25.5</v>
          </cell>
          <cell r="V199">
            <v>33.700000000000003</v>
          </cell>
        </row>
        <row r="200">
          <cell r="K200"/>
          <cell r="L200"/>
          <cell r="M200"/>
          <cell r="N200"/>
          <cell r="O200"/>
          <cell r="P200"/>
          <cell r="Q200"/>
          <cell r="R200"/>
          <cell r="S200"/>
          <cell r="T200"/>
          <cell r="U200"/>
          <cell r="V200"/>
        </row>
        <row r="201">
          <cell r="A201" t="str">
            <v>Other operating revenues</v>
          </cell>
          <cell r="B201" t="str">
            <v>Övriga rörelseintäkter</v>
          </cell>
          <cell r="K201">
            <v>0</v>
          </cell>
          <cell r="L201">
            <v>0</v>
          </cell>
          <cell r="M201">
            <v>0</v>
          </cell>
          <cell r="N201">
            <v>0</v>
          </cell>
          <cell r="O201">
            <v>0</v>
          </cell>
          <cell r="P201">
            <v>0</v>
          </cell>
          <cell r="Q201">
            <v>0</v>
          </cell>
          <cell r="R201">
            <v>0</v>
          </cell>
          <cell r="S201">
            <v>0</v>
          </cell>
          <cell r="T201">
            <v>0</v>
          </cell>
          <cell r="U201">
            <v>0</v>
          </cell>
          <cell r="V201">
            <v>0</v>
          </cell>
        </row>
        <row r="202">
          <cell r="A202" t="str">
            <v>Administrative expenses</v>
          </cell>
          <cell r="B202" t="str">
            <v xml:space="preserve">Administrationskostnader </v>
          </cell>
          <cell r="K202">
            <v>-1.6</v>
          </cell>
          <cell r="L202">
            <v>-3.1</v>
          </cell>
          <cell r="M202">
            <v>-3.4</v>
          </cell>
          <cell r="N202">
            <v>-4.3</v>
          </cell>
          <cell r="O202">
            <v>-1.4</v>
          </cell>
          <cell r="P202">
            <v>-2.4</v>
          </cell>
          <cell r="Q202">
            <v>-3.4</v>
          </cell>
          <cell r="R202">
            <v>-4.3</v>
          </cell>
          <cell r="S202">
            <v>-0.9</v>
          </cell>
          <cell r="T202">
            <v>-2.1</v>
          </cell>
          <cell r="U202">
            <v>-3</v>
          </cell>
          <cell r="V202">
            <v>-3.9</v>
          </cell>
        </row>
        <row r="203">
          <cell r="B203" t="str">
            <v>Övriga rörelsekostnader</v>
          </cell>
          <cell r="K203">
            <v>0</v>
          </cell>
          <cell r="L203">
            <v>0</v>
          </cell>
          <cell r="M203">
            <v>0</v>
          </cell>
          <cell r="N203">
            <v>0</v>
          </cell>
          <cell r="O203">
            <v>0</v>
          </cell>
          <cell r="P203">
            <v>0</v>
          </cell>
          <cell r="Q203">
            <v>0</v>
          </cell>
          <cell r="R203">
            <v>0</v>
          </cell>
          <cell r="S203">
            <v>0</v>
          </cell>
          <cell r="T203">
            <v>0</v>
          </cell>
          <cell r="U203">
            <v>0</v>
          </cell>
          <cell r="V203">
            <v>0</v>
          </cell>
        </row>
        <row r="204">
          <cell r="A204" t="str">
            <v>Operating income</v>
          </cell>
          <cell r="B204" t="str">
            <v>Rörelseresultat</v>
          </cell>
          <cell r="K204">
            <v>6.4</v>
          </cell>
          <cell r="L204">
            <v>13.700000000000001</v>
          </cell>
          <cell r="M204">
            <v>21.3</v>
          </cell>
          <cell r="N204">
            <v>28.7</v>
          </cell>
          <cell r="O204">
            <v>6.7000000000000011</v>
          </cell>
          <cell r="P204">
            <v>13.9</v>
          </cell>
          <cell r="Q204">
            <v>21.3</v>
          </cell>
          <cell r="R204">
            <v>28.7</v>
          </cell>
          <cell r="S204">
            <v>7.5</v>
          </cell>
          <cell r="T204">
            <v>15.100000000000003</v>
          </cell>
          <cell r="U204">
            <v>22.5</v>
          </cell>
          <cell r="V204">
            <v>29.800000000000004</v>
          </cell>
        </row>
        <row r="205">
          <cell r="K205"/>
          <cell r="L205"/>
          <cell r="M205"/>
          <cell r="N205"/>
          <cell r="O205"/>
          <cell r="P205"/>
          <cell r="Q205"/>
          <cell r="R205"/>
          <cell r="S205"/>
          <cell r="T205"/>
          <cell r="U205"/>
          <cell r="V205"/>
        </row>
        <row r="206">
          <cell r="A206" t="str">
            <v>Result from shares in group companies</v>
          </cell>
          <cell r="B206" t="str">
            <v>Resultat från andelar i dotterbolag</v>
          </cell>
          <cell r="K206">
            <v>0</v>
          </cell>
          <cell r="L206">
            <v>20</v>
          </cell>
          <cell r="M206">
            <v>12.3</v>
          </cell>
          <cell r="N206">
            <v>12.3</v>
          </cell>
          <cell r="O206">
            <v>12.3</v>
          </cell>
          <cell r="P206">
            <v>12.3</v>
          </cell>
          <cell r="Q206">
            <v>12.3</v>
          </cell>
          <cell r="R206">
            <v>12.3</v>
          </cell>
          <cell r="S206">
            <v>0</v>
          </cell>
          <cell r="T206">
            <v>0</v>
          </cell>
          <cell r="U206">
            <v>16.2</v>
          </cell>
          <cell r="V206">
            <v>80.2</v>
          </cell>
        </row>
        <row r="207">
          <cell r="A207" t="str">
            <v>Write-down of shares in group companies</v>
          </cell>
          <cell r="B207" t="str">
            <v>Nedskrivning andelar i dotterbolag</v>
          </cell>
          <cell r="K207">
            <v>0</v>
          </cell>
          <cell r="L207">
            <v>0</v>
          </cell>
          <cell r="M207">
            <v>0</v>
          </cell>
          <cell r="N207">
            <v>-23.7</v>
          </cell>
          <cell r="O207">
            <v>0</v>
          </cell>
          <cell r="P207">
            <v>0</v>
          </cell>
          <cell r="Q207">
            <v>0</v>
          </cell>
          <cell r="R207">
            <v>-23.7</v>
          </cell>
          <cell r="S207"/>
          <cell r="T207"/>
          <cell r="U207"/>
          <cell r="V207"/>
        </row>
        <row r="208">
          <cell r="A208" t="str">
            <v xml:space="preserve">Interest income and similar income and expense items </v>
          </cell>
          <cell r="B208" t="str">
            <v>Ränteintäkter och liknande resultatposter</v>
          </cell>
          <cell r="K208">
            <v>1.4</v>
          </cell>
          <cell r="L208">
            <v>2.7</v>
          </cell>
          <cell r="M208">
            <v>3.5</v>
          </cell>
          <cell r="N208">
            <v>4.5</v>
          </cell>
          <cell r="O208">
            <v>1.3</v>
          </cell>
          <cell r="P208">
            <v>2.5</v>
          </cell>
          <cell r="Q208">
            <v>3.5</v>
          </cell>
          <cell r="R208">
            <v>4.5</v>
          </cell>
          <cell r="S208">
            <v>0</v>
          </cell>
          <cell r="T208">
            <v>0</v>
          </cell>
          <cell r="U208">
            <v>0.7</v>
          </cell>
          <cell r="V208">
            <v>2.9</v>
          </cell>
        </row>
        <row r="209">
          <cell r="A209" t="str">
            <v>Interest expenses and similar income and expense items</v>
          </cell>
          <cell r="B209" t="str">
            <v>Räntekostnader och liknande resultatposter</v>
          </cell>
          <cell r="K209">
            <v>0</v>
          </cell>
          <cell r="L209">
            <v>-0.1</v>
          </cell>
          <cell r="M209">
            <v>-0.4</v>
          </cell>
          <cell r="N209">
            <v>-0.5</v>
          </cell>
          <cell r="O209">
            <v>0</v>
          </cell>
          <cell r="P209">
            <v>-0.4</v>
          </cell>
          <cell r="Q209">
            <v>-0.4</v>
          </cell>
          <cell r="R209">
            <v>-0.5</v>
          </cell>
          <cell r="S209">
            <v>0</v>
          </cell>
          <cell r="T209">
            <v>-0.2</v>
          </cell>
          <cell r="U209">
            <v>-0.2</v>
          </cell>
          <cell r="V209">
            <v>-0.2</v>
          </cell>
        </row>
        <row r="210">
          <cell r="A210" t="str">
            <v>Income after financial items</v>
          </cell>
          <cell r="B210" t="str">
            <v>Resultat efter finansiella poster</v>
          </cell>
          <cell r="K210">
            <v>7.8000000000000007</v>
          </cell>
          <cell r="L210">
            <v>36.300000000000004</v>
          </cell>
          <cell r="M210">
            <v>36.700000000000003</v>
          </cell>
          <cell r="N210">
            <v>21.3</v>
          </cell>
          <cell r="O210">
            <v>20.3</v>
          </cell>
          <cell r="P210">
            <v>28.300000000000004</v>
          </cell>
          <cell r="Q210">
            <v>36.700000000000003</v>
          </cell>
          <cell r="R210">
            <v>21.3</v>
          </cell>
          <cell r="S210">
            <v>7.5</v>
          </cell>
          <cell r="T210">
            <v>14.900000000000004</v>
          </cell>
          <cell r="U210">
            <v>39.200000000000003</v>
          </cell>
          <cell r="V210">
            <v>112.7</v>
          </cell>
        </row>
        <row r="211">
          <cell r="K211"/>
          <cell r="L211"/>
          <cell r="M211"/>
          <cell r="N211"/>
          <cell r="O211"/>
          <cell r="P211"/>
          <cell r="Q211"/>
          <cell r="R211"/>
          <cell r="S211"/>
          <cell r="T211"/>
          <cell r="U211"/>
          <cell r="V211"/>
        </row>
        <row r="212">
          <cell r="A212" t="str">
            <v>Appropriations</v>
          </cell>
          <cell r="B212" t="str">
            <v>Bokslutsdispositioner</v>
          </cell>
          <cell r="K212">
            <v>0</v>
          </cell>
          <cell r="L212">
            <v>0</v>
          </cell>
          <cell r="M212">
            <v>0</v>
          </cell>
          <cell r="N212">
            <v>41.9</v>
          </cell>
          <cell r="O212">
            <v>0</v>
          </cell>
          <cell r="P212">
            <v>0</v>
          </cell>
          <cell r="Q212">
            <v>0</v>
          </cell>
          <cell r="R212">
            <v>41.9</v>
          </cell>
          <cell r="S212">
            <v>0</v>
          </cell>
          <cell r="T212">
            <v>0</v>
          </cell>
          <cell r="U212">
            <v>0</v>
          </cell>
          <cell r="V212">
            <v>3.6</v>
          </cell>
        </row>
        <row r="213">
          <cell r="A213" t="str">
            <v>Income before tax</v>
          </cell>
          <cell r="B213" t="str">
            <v>Resultat före skatt</v>
          </cell>
          <cell r="K213">
            <v>7.8000000000000007</v>
          </cell>
          <cell r="L213">
            <v>36.300000000000004</v>
          </cell>
          <cell r="M213">
            <v>36.700000000000003</v>
          </cell>
          <cell r="N213">
            <v>63.2</v>
          </cell>
          <cell r="O213">
            <v>20.3</v>
          </cell>
          <cell r="P213">
            <v>28.300000000000004</v>
          </cell>
          <cell r="Q213">
            <v>36.700000000000003</v>
          </cell>
          <cell r="R213">
            <v>63.2</v>
          </cell>
          <cell r="S213">
            <v>7.5</v>
          </cell>
          <cell r="T213">
            <v>14.900000000000004</v>
          </cell>
          <cell r="U213">
            <v>39.200000000000003</v>
          </cell>
          <cell r="V213">
            <v>116.3</v>
          </cell>
        </row>
        <row r="214">
          <cell r="K214"/>
          <cell r="L214"/>
          <cell r="M214"/>
          <cell r="N214"/>
          <cell r="O214"/>
          <cell r="P214"/>
          <cell r="Q214"/>
          <cell r="R214"/>
          <cell r="S214"/>
          <cell r="T214"/>
          <cell r="U214"/>
          <cell r="V214"/>
        </row>
        <row r="215">
          <cell r="A215" t="str">
            <v>Income tax</v>
          </cell>
          <cell r="B215" t="str">
            <v>Inkomstskatt</v>
          </cell>
          <cell r="K215">
            <v>-1.6</v>
          </cell>
          <cell r="L215">
            <v>-3.3</v>
          </cell>
          <cell r="M215">
            <v>-5</v>
          </cell>
          <cell r="N215">
            <v>-16.100000000000001</v>
          </cell>
          <cell r="O215">
            <v>-1.7</v>
          </cell>
          <cell r="P215">
            <v>-3.3</v>
          </cell>
          <cell r="Q215">
            <v>-5</v>
          </cell>
          <cell r="R215">
            <v>-16.100000000000001</v>
          </cell>
          <cell r="S215">
            <v>-1.5</v>
          </cell>
          <cell r="T215">
            <v>-3.1</v>
          </cell>
          <cell r="U215">
            <v>-4.7</v>
          </cell>
          <cell r="V215">
            <v>-7.9</v>
          </cell>
        </row>
        <row r="216">
          <cell r="A216" t="str">
            <v>Net income for the period</v>
          </cell>
          <cell r="B216" t="str">
            <v>Periodens resultat</v>
          </cell>
          <cell r="K216">
            <v>6.2000000000000011</v>
          </cell>
          <cell r="L216">
            <v>33.000000000000007</v>
          </cell>
          <cell r="M216">
            <v>31.700000000000003</v>
          </cell>
          <cell r="N216">
            <v>47.1</v>
          </cell>
          <cell r="O216">
            <v>18.600000000000001</v>
          </cell>
          <cell r="P216">
            <v>25.000000000000004</v>
          </cell>
          <cell r="Q216">
            <v>31.700000000000003</v>
          </cell>
          <cell r="R216">
            <v>47.1</v>
          </cell>
          <cell r="S216">
            <v>6</v>
          </cell>
          <cell r="T216">
            <v>11.800000000000004</v>
          </cell>
          <cell r="U216">
            <v>34.5</v>
          </cell>
          <cell r="V216">
            <v>108.39999999999999</v>
          </cell>
        </row>
        <row r="217">
          <cell r="K217"/>
          <cell r="L217"/>
          <cell r="M217"/>
          <cell r="N217"/>
          <cell r="O217"/>
          <cell r="P217"/>
          <cell r="Q217"/>
          <cell r="R217"/>
          <cell r="S217"/>
          <cell r="T217"/>
          <cell r="U217"/>
          <cell r="V217"/>
        </row>
        <row r="218">
          <cell r="A218" t="str">
            <v>Parent company statement of comprehensive income</v>
          </cell>
          <cell r="B218" t="str">
            <v>Rapport över moderbolagets totalresultat</v>
          </cell>
          <cell r="K218"/>
          <cell r="L218"/>
          <cell r="M218"/>
          <cell r="N218"/>
          <cell r="O218"/>
          <cell r="P218"/>
          <cell r="Q218"/>
          <cell r="R218"/>
          <cell r="S218"/>
          <cell r="T218"/>
          <cell r="U218"/>
          <cell r="V218"/>
        </row>
        <row r="219">
          <cell r="A219" t="str">
            <v>Net income for the period</v>
          </cell>
          <cell r="B219" t="str">
            <v>Periodens resultat</v>
          </cell>
          <cell r="K219"/>
          <cell r="L219"/>
          <cell r="M219"/>
          <cell r="N219"/>
          <cell r="O219"/>
          <cell r="P219"/>
          <cell r="Q219"/>
          <cell r="R219"/>
          <cell r="S219"/>
          <cell r="T219"/>
          <cell r="U219"/>
          <cell r="V219"/>
        </row>
        <row r="220">
          <cell r="A220" t="str">
            <v>Items that will subsequently be reclassified to net income:</v>
          </cell>
          <cell r="B220" t="str">
            <v>Poster som kommer att omklassificeras till nettoresultatet</v>
          </cell>
          <cell r="K220">
            <v>0</v>
          </cell>
          <cell r="L220">
            <v>0</v>
          </cell>
          <cell r="M220">
            <v>0</v>
          </cell>
          <cell r="N220">
            <v>0</v>
          </cell>
          <cell r="O220">
            <v>0</v>
          </cell>
          <cell r="P220">
            <v>0</v>
          </cell>
          <cell r="Q220">
            <v>0</v>
          </cell>
          <cell r="R220">
            <v>0</v>
          </cell>
          <cell r="S220">
            <v>0</v>
          </cell>
          <cell r="T220">
            <v>0</v>
          </cell>
          <cell r="U220">
            <v>0</v>
          </cell>
          <cell r="V220">
            <v>0</v>
          </cell>
        </row>
        <row r="221">
          <cell r="A221" t="str">
            <v>Items that will subsequently not be reclassified to net income</v>
          </cell>
          <cell r="B221" t="str">
            <v>Poster som inte kommer att omklassificeras till nettoresultatet</v>
          </cell>
          <cell r="K221">
            <v>0</v>
          </cell>
          <cell r="L221">
            <v>0</v>
          </cell>
          <cell r="M221">
            <v>0</v>
          </cell>
          <cell r="N221">
            <v>0</v>
          </cell>
          <cell r="O221">
            <v>0</v>
          </cell>
          <cell r="P221">
            <v>0</v>
          </cell>
          <cell r="Q221">
            <v>0</v>
          </cell>
          <cell r="R221">
            <v>0</v>
          </cell>
          <cell r="S221">
            <v>0</v>
          </cell>
          <cell r="T221">
            <v>0</v>
          </cell>
          <cell r="U221">
            <v>0</v>
          </cell>
          <cell r="V221">
            <v>0</v>
          </cell>
        </row>
        <row r="222">
          <cell r="A222" t="str">
            <v>Comprehensive income for the period</v>
          </cell>
          <cell r="B222" t="str">
            <v>Periodens totalresultat</v>
          </cell>
          <cell r="K222"/>
          <cell r="L222"/>
          <cell r="M222"/>
          <cell r="N222"/>
          <cell r="O222"/>
          <cell r="P222"/>
          <cell r="Q222"/>
          <cell r="R222"/>
          <cell r="S222"/>
          <cell r="T222"/>
          <cell r="U222"/>
          <cell r="V222"/>
        </row>
        <row r="225">
          <cell r="F225" t="str">
            <v>30 jun</v>
          </cell>
          <cell r="G225" t="str">
            <v>30 jun</v>
          </cell>
          <cell r="I225" t="str">
            <v>31 dec</v>
          </cell>
        </row>
        <row r="226">
          <cell r="A226" t="str">
            <v>MSEK</v>
          </cell>
          <cell r="B226" t="str">
            <v>Mkr</v>
          </cell>
          <cell r="C226" t="str">
            <v>Not</v>
          </cell>
          <cell r="F226">
            <v>2026</v>
          </cell>
          <cell r="G226">
            <v>2025</v>
          </cell>
          <cell r="I226">
            <v>2025</v>
          </cell>
        </row>
        <row r="227">
          <cell r="A227" t="str">
            <v>Assets</v>
          </cell>
          <cell r="B227" t="str">
            <v>Tillgångar</v>
          </cell>
        </row>
        <row r="228">
          <cell r="A228" t="str">
            <v>Tangible assets</v>
          </cell>
          <cell r="B228" t="str">
            <v>Anläggningstillgångar</v>
          </cell>
        </row>
        <row r="229">
          <cell r="A229" t="str">
            <v>Tangible fixed assets</v>
          </cell>
          <cell r="B229" t="str">
            <v>Materiella anläggningstillgångar</v>
          </cell>
          <cell r="K229">
            <v>205.1</v>
          </cell>
          <cell r="L229">
            <v>203.7</v>
          </cell>
          <cell r="M229">
            <v>170.3</v>
          </cell>
          <cell r="N229">
            <v>169.4</v>
          </cell>
          <cell r="O229">
            <v>171.6</v>
          </cell>
          <cell r="P229">
            <v>170.3</v>
          </cell>
          <cell r="Q229">
            <v>170.3</v>
          </cell>
          <cell r="R229">
            <v>169.4</v>
          </cell>
          <cell r="S229">
            <v>178.3</v>
          </cell>
          <cell r="T229">
            <v>176.5</v>
          </cell>
          <cell r="U229">
            <v>175</v>
          </cell>
          <cell r="V229">
            <v>173.2</v>
          </cell>
        </row>
        <row r="230">
          <cell r="A230" t="str">
            <v>Financial assets (shares in subsidiaries)</v>
          </cell>
          <cell r="B230" t="str">
            <v>Finansiella anläggningstillgångar (aktier i dotterbolag)</v>
          </cell>
          <cell r="K230">
            <v>87.9</v>
          </cell>
          <cell r="L230">
            <v>87.9</v>
          </cell>
          <cell r="M230">
            <v>90.5</v>
          </cell>
          <cell r="N230">
            <v>87.9</v>
          </cell>
          <cell r="O230">
            <v>90.5</v>
          </cell>
          <cell r="P230">
            <v>90.5</v>
          </cell>
          <cell r="Q230">
            <v>90.5</v>
          </cell>
          <cell r="R230">
            <v>87.9</v>
          </cell>
          <cell r="S230">
            <v>87.9</v>
          </cell>
          <cell r="T230">
            <v>87.9</v>
          </cell>
          <cell r="U230">
            <v>87.9</v>
          </cell>
          <cell r="V230">
            <v>87.9</v>
          </cell>
        </row>
        <row r="231">
          <cell r="A231" t="str">
            <v>Total fixed assets</v>
          </cell>
          <cell r="B231" t="str">
            <v>Summa anläggningstillgångar</v>
          </cell>
          <cell r="K231">
            <v>293</v>
          </cell>
          <cell r="L231">
            <v>291.60000000000002</v>
          </cell>
          <cell r="M231">
            <v>260.8</v>
          </cell>
          <cell r="N231">
            <v>257.3</v>
          </cell>
          <cell r="O231">
            <v>262.10000000000002</v>
          </cell>
          <cell r="P231">
            <v>260.8</v>
          </cell>
          <cell r="Q231">
            <v>260.8</v>
          </cell>
          <cell r="R231">
            <v>257.3</v>
          </cell>
          <cell r="S231">
            <v>266.20000000000005</v>
          </cell>
          <cell r="T231">
            <v>264.39999999999998</v>
          </cell>
          <cell r="U231">
            <v>262.89999999999998</v>
          </cell>
          <cell r="V231">
            <v>261.10000000000002</v>
          </cell>
        </row>
        <row r="232">
          <cell r="B232"/>
        </row>
        <row r="233">
          <cell r="A233" t="str">
            <v>Current assets</v>
          </cell>
          <cell r="B233" t="str">
            <v>Omsättningstillgångar</v>
          </cell>
        </row>
        <row r="234">
          <cell r="A234" t="str">
            <v>Current receivables</v>
          </cell>
          <cell r="B234" t="str">
            <v>Kortfristiga fordringar</v>
          </cell>
          <cell r="K234">
            <v>152.4</v>
          </cell>
          <cell r="L234">
            <v>181.5</v>
          </cell>
          <cell r="M234">
            <v>142.69999999999999</v>
          </cell>
          <cell r="N234">
            <v>186.7</v>
          </cell>
          <cell r="O234">
            <v>163.69999999999999</v>
          </cell>
          <cell r="P234">
            <v>133.69999999999999</v>
          </cell>
          <cell r="Q234">
            <v>142.69999999999999</v>
          </cell>
          <cell r="R234">
            <v>186.7</v>
          </cell>
          <cell r="S234">
            <v>84</v>
          </cell>
          <cell r="T234">
            <v>55.2</v>
          </cell>
          <cell r="U234">
            <v>80.5</v>
          </cell>
          <cell r="V234">
            <v>154.9</v>
          </cell>
        </row>
        <row r="235">
          <cell r="A235" t="str">
            <v>Cash and bank balances</v>
          </cell>
          <cell r="B235" t="str">
            <v>Kassa och bank</v>
          </cell>
          <cell r="K235">
            <v>0</v>
          </cell>
          <cell r="L235">
            <v>0</v>
          </cell>
          <cell r="M235">
            <v>0</v>
          </cell>
          <cell r="N235">
            <v>0</v>
          </cell>
          <cell r="O235">
            <v>0</v>
          </cell>
          <cell r="P235">
            <v>0</v>
          </cell>
          <cell r="Q235">
            <v>0</v>
          </cell>
          <cell r="R235">
            <v>0</v>
          </cell>
          <cell r="S235">
            <v>0.5</v>
          </cell>
          <cell r="T235">
            <v>0</v>
          </cell>
          <cell r="U235">
            <v>0</v>
          </cell>
          <cell r="V235">
            <v>0</v>
          </cell>
        </row>
        <row r="236">
          <cell r="A236" t="str">
            <v>Total current assets</v>
          </cell>
          <cell r="B236" t="str">
            <v>Summa omsättningstillgångar</v>
          </cell>
          <cell r="K236">
            <v>152.4</v>
          </cell>
          <cell r="L236">
            <v>181.5</v>
          </cell>
          <cell r="M236">
            <v>142.69999999999999</v>
          </cell>
          <cell r="N236">
            <v>186.7</v>
          </cell>
          <cell r="O236">
            <v>163.69999999999999</v>
          </cell>
          <cell r="P236">
            <v>133.69999999999999</v>
          </cell>
          <cell r="Q236">
            <v>142.69999999999999</v>
          </cell>
          <cell r="R236">
            <v>186.7</v>
          </cell>
          <cell r="S236">
            <v>84.5</v>
          </cell>
          <cell r="T236">
            <v>55.2</v>
          </cell>
          <cell r="U236">
            <v>80.5</v>
          </cell>
          <cell r="V236">
            <v>154.9</v>
          </cell>
        </row>
        <row r="237">
          <cell r="A237" t="str">
            <v>Total assets</v>
          </cell>
          <cell r="B237" t="str">
            <v>Summa tillgångar</v>
          </cell>
          <cell r="K237">
            <v>445.4</v>
          </cell>
          <cell r="L237">
            <v>473.1</v>
          </cell>
          <cell r="M237">
            <v>403.5</v>
          </cell>
          <cell r="N237">
            <v>444</v>
          </cell>
          <cell r="O237">
            <v>425.8</v>
          </cell>
          <cell r="P237">
            <v>394.5</v>
          </cell>
          <cell r="Q237">
            <v>403.5</v>
          </cell>
          <cell r="R237">
            <v>444</v>
          </cell>
          <cell r="S237">
            <v>350.70000000000005</v>
          </cell>
          <cell r="T237">
            <v>319.59999999999997</v>
          </cell>
          <cell r="U237">
            <v>343.4</v>
          </cell>
          <cell r="V237">
            <v>416</v>
          </cell>
        </row>
        <row r="238">
          <cell r="B238"/>
          <cell r="D238"/>
          <cell r="E238"/>
          <cell r="F238"/>
          <cell r="G238"/>
        </row>
        <row r="239">
          <cell r="A239" t="str">
            <v>Equity and liabilities</v>
          </cell>
          <cell r="B239" t="str">
            <v>Eget kapital och skulder</v>
          </cell>
          <cell r="D239"/>
          <cell r="E239"/>
          <cell r="F239"/>
          <cell r="G239"/>
          <cell r="I239"/>
        </row>
        <row r="240">
          <cell r="A240" t="str">
            <v>Equity</v>
          </cell>
          <cell r="B240" t="str">
            <v>Eget kapital</v>
          </cell>
          <cell r="K240">
            <v>338</v>
          </cell>
          <cell r="L240">
            <v>364.8</v>
          </cell>
          <cell r="M240">
            <v>316.39999999999998</v>
          </cell>
          <cell r="N240">
            <v>331.8</v>
          </cell>
          <cell r="O240">
            <v>340.4</v>
          </cell>
          <cell r="P240">
            <v>309.7</v>
          </cell>
          <cell r="Q240">
            <v>316.39999999999998</v>
          </cell>
          <cell r="R240">
            <v>331.8</v>
          </cell>
          <cell r="S240">
            <v>256.3</v>
          </cell>
          <cell r="T240">
            <v>225.1</v>
          </cell>
          <cell r="U240">
            <v>247.8</v>
          </cell>
          <cell r="V240">
            <v>321.7</v>
          </cell>
        </row>
        <row r="241">
          <cell r="A241" t="str">
            <v>Untaxed reserves</v>
          </cell>
          <cell r="B241" t="str">
            <v>Obeskattade reserver</v>
          </cell>
          <cell r="K241">
            <v>98.5</v>
          </cell>
          <cell r="L241">
            <v>98.5</v>
          </cell>
          <cell r="M241">
            <v>75.400000000000006</v>
          </cell>
          <cell r="N241">
            <v>98.5</v>
          </cell>
          <cell r="O241">
            <v>75.400000000000006</v>
          </cell>
          <cell r="P241">
            <v>75.400000000000006</v>
          </cell>
          <cell r="Q241">
            <v>75.400000000000006</v>
          </cell>
          <cell r="R241">
            <v>98.5</v>
          </cell>
          <cell r="S241">
            <v>79</v>
          </cell>
          <cell r="T241">
            <v>79</v>
          </cell>
          <cell r="U241">
            <v>79</v>
          </cell>
          <cell r="V241">
            <v>75.400000000000006</v>
          </cell>
        </row>
        <row r="242">
          <cell r="A242" t="str">
            <v>Provisions for taxes</v>
          </cell>
          <cell r="B242" t="str">
            <v>Uppskjutna skatteskulder</v>
          </cell>
          <cell r="K242">
            <v>4.4000000000000004</v>
          </cell>
          <cell r="L242">
            <v>4.4000000000000004</v>
          </cell>
          <cell r="M242">
            <v>3.8</v>
          </cell>
          <cell r="N242">
            <v>4.4000000000000004</v>
          </cell>
          <cell r="O242">
            <v>3.8</v>
          </cell>
          <cell r="P242">
            <v>3.8</v>
          </cell>
          <cell r="Q242">
            <v>3.8</v>
          </cell>
          <cell r="R242">
            <v>4.4000000000000004</v>
          </cell>
          <cell r="S242">
            <v>3.8</v>
          </cell>
          <cell r="T242">
            <v>3.8</v>
          </cell>
          <cell r="U242">
            <v>3.8</v>
          </cell>
          <cell r="V242">
            <v>3.8</v>
          </cell>
        </row>
        <row r="243">
          <cell r="A243" t="str">
            <v>Long-term liabilities</v>
          </cell>
          <cell r="B243" t="str">
            <v>Långfristiga skulder</v>
          </cell>
          <cell r="K243">
            <v>0</v>
          </cell>
          <cell r="L243">
            <v>0</v>
          </cell>
          <cell r="M243">
            <v>0</v>
          </cell>
          <cell r="N243">
            <v>0</v>
          </cell>
          <cell r="O243">
            <v>0</v>
          </cell>
          <cell r="P243">
            <v>0</v>
          </cell>
          <cell r="Q243">
            <v>0</v>
          </cell>
          <cell r="R243">
            <v>0</v>
          </cell>
          <cell r="S243">
            <v>0</v>
          </cell>
          <cell r="T243">
            <v>0</v>
          </cell>
          <cell r="U243">
            <v>0</v>
          </cell>
          <cell r="V243">
            <v>0</v>
          </cell>
        </row>
        <row r="244">
          <cell r="A244" t="str">
            <v>Current liabilities</v>
          </cell>
          <cell r="B244" t="str">
            <v>Kortfristiga skulder</v>
          </cell>
          <cell r="K244">
            <v>4.5</v>
          </cell>
          <cell r="L244">
            <v>5.4</v>
          </cell>
          <cell r="M244">
            <v>7.9</v>
          </cell>
          <cell r="N244">
            <v>9.3000000000000007</v>
          </cell>
          <cell r="O244">
            <v>6.2</v>
          </cell>
          <cell r="P244">
            <v>5.6</v>
          </cell>
          <cell r="Q244">
            <v>7.9</v>
          </cell>
          <cell r="R244">
            <v>9.3000000000000007</v>
          </cell>
          <cell r="S244">
            <v>11.6</v>
          </cell>
          <cell r="T244">
            <v>11.7</v>
          </cell>
          <cell r="U244">
            <v>12.8</v>
          </cell>
          <cell r="V244">
            <v>15.1</v>
          </cell>
        </row>
        <row r="245">
          <cell r="A245" t="str">
            <v>Total equity and liabilities</v>
          </cell>
          <cell r="B245" t="str">
            <v>Summa eget kapital och skulder</v>
          </cell>
          <cell r="K245">
            <v>445.4</v>
          </cell>
          <cell r="L245">
            <v>473.09999999999997</v>
          </cell>
          <cell r="M245">
            <v>403.49999999999994</v>
          </cell>
          <cell r="N245">
            <v>444</v>
          </cell>
          <cell r="O245">
            <v>425.79999999999995</v>
          </cell>
          <cell r="P245">
            <v>394.50000000000006</v>
          </cell>
          <cell r="Q245">
            <v>403.49999999999994</v>
          </cell>
          <cell r="R245">
            <v>444</v>
          </cell>
          <cell r="S245">
            <v>350.70000000000005</v>
          </cell>
          <cell r="T245">
            <v>319.60000000000002</v>
          </cell>
          <cell r="U245">
            <v>343.40000000000003</v>
          </cell>
          <cell r="V245">
            <v>416.00000000000006</v>
          </cell>
        </row>
        <row r="247">
          <cell r="A247" t="str">
            <v>Note 2 - Revenue by market</v>
          </cell>
          <cell r="B247" t="str">
            <v>Not 2 - Intäkter per marknad</v>
          </cell>
        </row>
        <row r="248">
          <cell r="D248" t="str">
            <v>Kvartal 2</v>
          </cell>
          <cell r="E248" t="str">
            <v>Kvartal 2</v>
          </cell>
          <cell r="F248" t="str">
            <v>Kvartal 1-2</v>
          </cell>
          <cell r="G248" t="str">
            <v>Kvartal 1-2</v>
          </cell>
        </row>
        <row r="249">
          <cell r="A249" t="str">
            <v>MSEK</v>
          </cell>
          <cell r="B249" t="str">
            <v>Mkr</v>
          </cell>
          <cell r="D249">
            <v>2026</v>
          </cell>
          <cell r="E249">
            <v>2025</v>
          </cell>
          <cell r="F249">
            <v>2026</v>
          </cell>
          <cell r="G249">
            <v>2025</v>
          </cell>
        </row>
        <row r="250">
          <cell r="B250" t="str">
            <v>Sverige</v>
          </cell>
          <cell r="K250">
            <v>277.8</v>
          </cell>
          <cell r="L250">
            <v>580.91999999999996</v>
          </cell>
          <cell r="M250">
            <v>834</v>
          </cell>
          <cell r="N250">
            <v>1039.9000000000001</v>
          </cell>
          <cell r="O250">
            <v>281.42400000000004</v>
          </cell>
          <cell r="P250">
            <v>577.10399999999993</v>
          </cell>
          <cell r="Q250">
            <v>834</v>
          </cell>
          <cell r="R250">
            <v>1039.9000000000001</v>
          </cell>
          <cell r="S250">
            <v>255.72800000000001</v>
          </cell>
          <cell r="T250">
            <v>521.70799999999997</v>
          </cell>
          <cell r="U250">
            <v>750.3</v>
          </cell>
          <cell r="V250">
            <v>1007.2</v>
          </cell>
        </row>
        <row r="251">
          <cell r="B251" t="str">
            <v xml:space="preserve">Tyskland </v>
          </cell>
          <cell r="K251">
            <v>109.7</v>
          </cell>
          <cell r="L251">
            <v>235.04</v>
          </cell>
          <cell r="M251">
            <v>388.1</v>
          </cell>
          <cell r="N251">
            <v>475</v>
          </cell>
          <cell r="O251">
            <v>140.71200000000002</v>
          </cell>
          <cell r="P251">
            <v>288.55199999999996</v>
          </cell>
          <cell r="Q251">
            <v>388.1</v>
          </cell>
          <cell r="R251">
            <v>475</v>
          </cell>
          <cell r="S251">
            <v>127.864</v>
          </cell>
          <cell r="T251">
            <v>260.85399999999998</v>
          </cell>
          <cell r="U251">
            <v>372.7</v>
          </cell>
          <cell r="V251">
            <v>500.4</v>
          </cell>
        </row>
        <row r="252">
          <cell r="B252" t="str">
            <v>Övriga</v>
          </cell>
          <cell r="K252">
            <v>222.1</v>
          </cell>
          <cell r="L252">
            <v>478.33300000000003</v>
          </cell>
          <cell r="M252">
            <v>587.30000000000007</v>
          </cell>
          <cell r="N252">
            <v>814.90000000000009</v>
          </cell>
          <cell r="O252">
            <v>217.46400000000003</v>
          </cell>
          <cell r="P252">
            <v>445.94400000000002</v>
          </cell>
          <cell r="Q252">
            <v>587.30000000000007</v>
          </cell>
          <cell r="R252">
            <v>814.90000000000009</v>
          </cell>
          <cell r="S252">
            <v>197.60800000000003</v>
          </cell>
          <cell r="T252">
            <v>403.13800000000003</v>
          </cell>
          <cell r="U252">
            <v>569.29999999999995</v>
          </cell>
          <cell r="V252">
            <v>764.2</v>
          </cell>
        </row>
        <row r="253">
          <cell r="B253" t="str">
            <v>Totalt</v>
          </cell>
          <cell r="K253">
            <v>609.6</v>
          </cell>
          <cell r="L253">
            <v>1294.2929999999999</v>
          </cell>
          <cell r="M253">
            <v>1809.4</v>
          </cell>
          <cell r="N253">
            <v>2329.8000000000002</v>
          </cell>
          <cell r="O253">
            <v>639.60000000000014</v>
          </cell>
          <cell r="P253">
            <v>1311.6</v>
          </cell>
          <cell r="Q253">
            <v>1809.4</v>
          </cell>
          <cell r="R253">
            <v>2329.8000000000002</v>
          </cell>
          <cell r="S253">
            <v>581.20000000000005</v>
          </cell>
          <cell r="T253">
            <v>1185.6999999999998</v>
          </cell>
          <cell r="U253">
            <v>1692.3</v>
          </cell>
          <cell r="V253">
            <v>2271.8000000000002</v>
          </cell>
        </row>
        <row r="255">
          <cell r="B255" t="str">
            <v>Not 3 - Av– och nedskrivningar på materiella och immateriella anläggningstillgångar</v>
          </cell>
        </row>
        <row r="256">
          <cell r="D256" t="str">
            <v>Kvartal 2</v>
          </cell>
          <cell r="E256" t="str">
            <v>Kvartal 2</v>
          </cell>
        </row>
        <row r="257">
          <cell r="B257" t="str">
            <v>Mkr</v>
          </cell>
          <cell r="D257">
            <v>2026</v>
          </cell>
          <cell r="E257">
            <v>2025</v>
          </cell>
          <cell r="F257">
            <v>2026</v>
          </cell>
          <cell r="G257">
            <v>2025</v>
          </cell>
        </row>
        <row r="258">
          <cell r="A258" t="str">
            <v>Intangible fixed assets</v>
          </cell>
          <cell r="B258" t="str">
            <v>Immateriella anläggningstillgångar</v>
          </cell>
          <cell r="K258">
            <v>0</v>
          </cell>
          <cell r="L258">
            <v>0</v>
          </cell>
          <cell r="M258">
            <v>0</v>
          </cell>
          <cell r="N258">
            <v>0</v>
          </cell>
          <cell r="O258">
            <v>0</v>
          </cell>
          <cell r="P258">
            <v>0</v>
          </cell>
          <cell r="Q258">
            <v>0</v>
          </cell>
          <cell r="R258">
            <v>0</v>
          </cell>
          <cell r="S258">
            <v>1.6</v>
          </cell>
          <cell r="T258">
            <v>3</v>
          </cell>
          <cell r="U258">
            <v>3.9</v>
          </cell>
          <cell r="V258">
            <v>3.9</v>
          </cell>
        </row>
        <row r="259">
          <cell r="A259" t="str">
            <v>Land and buildings</v>
          </cell>
          <cell r="B259" t="str">
            <v>Byggnader och mark</v>
          </cell>
          <cell r="K259">
            <v>1.8</v>
          </cell>
          <cell r="L259">
            <v>3.7</v>
          </cell>
          <cell r="M259">
            <v>5</v>
          </cell>
          <cell r="N259">
            <v>6.7</v>
          </cell>
          <cell r="O259">
            <v>1.7</v>
          </cell>
          <cell r="P259">
            <v>3.3</v>
          </cell>
          <cell r="Q259">
            <v>5</v>
          </cell>
          <cell r="R259">
            <v>6.7</v>
          </cell>
          <cell r="S259">
            <v>1.6</v>
          </cell>
          <cell r="T259">
            <v>3.3</v>
          </cell>
          <cell r="U259">
            <v>5</v>
          </cell>
          <cell r="V259">
            <v>6.7</v>
          </cell>
        </row>
        <row r="260">
          <cell r="A260" t="str">
            <v>Machinery and equipment</v>
          </cell>
          <cell r="B260" t="str">
            <v>Maskiner och inventarier</v>
          </cell>
          <cell r="K260">
            <v>16.600000000000001</v>
          </cell>
          <cell r="L260">
            <v>32.9</v>
          </cell>
          <cell r="M260">
            <v>52</v>
          </cell>
          <cell r="N260">
            <v>68.599999999999994</v>
          </cell>
          <cell r="O260">
            <v>16.899999999999999</v>
          </cell>
          <cell r="P260">
            <v>34.799999999999997</v>
          </cell>
          <cell r="Q260">
            <v>52</v>
          </cell>
          <cell r="R260">
            <v>68.599999999999994</v>
          </cell>
          <cell r="S260">
            <v>16.3</v>
          </cell>
          <cell r="T260">
            <v>33.200000000000003</v>
          </cell>
          <cell r="U260">
            <v>50.3</v>
          </cell>
          <cell r="V260">
            <v>67.3</v>
          </cell>
        </row>
        <row r="261">
          <cell r="A261" t="str">
            <v>Right of use assets</v>
          </cell>
          <cell r="B261" t="str">
            <v>Nyttjanderättstillgångar</v>
          </cell>
          <cell r="K261">
            <v>3.6</v>
          </cell>
          <cell r="L261">
            <v>7.1</v>
          </cell>
          <cell r="M261">
            <v>9.9</v>
          </cell>
          <cell r="N261">
            <v>13.4</v>
          </cell>
          <cell r="O261">
            <v>3.3</v>
          </cell>
          <cell r="P261">
            <v>6.6</v>
          </cell>
          <cell r="Q261">
            <v>9.9</v>
          </cell>
          <cell r="R261">
            <v>13.4</v>
          </cell>
          <cell r="S261">
            <v>3.4</v>
          </cell>
          <cell r="T261">
            <v>6.9</v>
          </cell>
          <cell r="U261">
            <v>10.199999999999999</v>
          </cell>
          <cell r="V261">
            <v>13.5</v>
          </cell>
        </row>
        <row r="262">
          <cell r="B262" t="str">
            <v>Totalt</v>
          </cell>
          <cell r="K262">
            <v>22.000000000000004</v>
          </cell>
          <cell r="L262">
            <v>43.7</v>
          </cell>
          <cell r="M262">
            <v>66.900000000000006</v>
          </cell>
          <cell r="N262">
            <v>88.7</v>
          </cell>
          <cell r="O262">
            <v>21.9</v>
          </cell>
          <cell r="P262">
            <v>44.699999999999996</v>
          </cell>
          <cell r="Q262">
            <v>66.900000000000006</v>
          </cell>
          <cell r="R262">
            <v>88.7</v>
          </cell>
          <cell r="S262">
            <v>22.9</v>
          </cell>
          <cell r="T262">
            <v>46.4</v>
          </cell>
          <cell r="U262">
            <v>69.399999999999991</v>
          </cell>
          <cell r="V262">
            <v>91.399999999999991</v>
          </cell>
          <cell r="W262">
            <v>22.000000000000004</v>
          </cell>
          <cell r="X262">
            <v>21.699999999999996</v>
          </cell>
          <cell r="Y262">
            <v>23.200000000000003</v>
          </cell>
          <cell r="Z262">
            <v>21.799999999999994</v>
          </cell>
          <cell r="AA262">
            <v>21.9</v>
          </cell>
          <cell r="AB262">
            <v>22.8</v>
          </cell>
          <cell r="AC262">
            <v>22.200000000000003</v>
          </cell>
          <cell r="AD262">
            <v>21.799999999999994</v>
          </cell>
          <cell r="AE262">
            <v>22.9</v>
          </cell>
          <cell r="AF262">
            <v>23.5</v>
          </cell>
          <cell r="AG262">
            <v>22.999999999999993</v>
          </cell>
          <cell r="AH262">
            <v>22</v>
          </cell>
        </row>
        <row r="263">
          <cell r="A263" t="str">
            <v xml:space="preserve">of which write-down </v>
          </cell>
          <cell r="B263" t="str">
            <v>varav nedskrivningar</v>
          </cell>
          <cell r="K263">
            <v>0</v>
          </cell>
          <cell r="L263">
            <v>0</v>
          </cell>
          <cell r="M263">
            <v>0</v>
          </cell>
          <cell r="N263">
            <v>0</v>
          </cell>
          <cell r="O263">
            <v>0</v>
          </cell>
          <cell r="P263">
            <v>0</v>
          </cell>
          <cell r="Q263">
            <v>0</v>
          </cell>
          <cell r="R263">
            <v>0</v>
          </cell>
          <cell r="S263">
            <v>0</v>
          </cell>
          <cell r="T263">
            <v>0</v>
          </cell>
          <cell r="U263">
            <v>0</v>
          </cell>
          <cell r="V263">
            <v>0</v>
          </cell>
        </row>
        <row r="266">
          <cell r="A266" t="str">
            <v>Note 4 - Financial expenses</v>
          </cell>
          <cell r="B266" t="str">
            <v>Not 4 - Finansiella kostnader</v>
          </cell>
        </row>
        <row r="268">
          <cell r="A268" t="str">
            <v>MSEK</v>
          </cell>
          <cell r="B268" t="str">
            <v>Mkr</v>
          </cell>
        </row>
        <row r="269">
          <cell r="A269" t="str">
            <v>Interest expenses to financial institutions</v>
          </cell>
          <cell r="B269" t="str">
            <v>Räntekostnader till finansinstitut</v>
          </cell>
          <cell r="K269">
            <v>1.9</v>
          </cell>
          <cell r="L269">
            <v>4.3</v>
          </cell>
          <cell r="M269">
            <v>4.0999999999999996</v>
          </cell>
          <cell r="N269">
            <v>6.2</v>
          </cell>
          <cell r="O269">
            <v>1.5</v>
          </cell>
          <cell r="P269">
            <v>2.9</v>
          </cell>
          <cell r="Q269">
            <v>4.0999999999999996</v>
          </cell>
          <cell r="R269">
            <v>6.2</v>
          </cell>
          <cell r="S269">
            <v>2</v>
          </cell>
          <cell r="T269">
            <v>4.0999999999999996</v>
          </cell>
          <cell r="U269">
            <v>6.2</v>
          </cell>
          <cell r="V269">
            <v>7.1</v>
          </cell>
        </row>
        <row r="270">
          <cell r="A270" t="str">
            <v>Unrealized exchange rate revaluation of financial items (gain neg, loss pos)</v>
          </cell>
          <cell r="B270" t="str">
            <v>Orealiserade kursomvärderingar valutalån (vinst neg, förlust pos)</v>
          </cell>
          <cell r="K270">
            <v>0.6</v>
          </cell>
          <cell r="L270">
            <v>1.4</v>
          </cell>
          <cell r="M270">
            <v>-3.1</v>
          </cell>
          <cell r="N270">
            <v>-4.5</v>
          </cell>
          <cell r="O270">
            <v>-4.4000000000000004</v>
          </cell>
          <cell r="P270">
            <v>-2.5</v>
          </cell>
          <cell r="Q270">
            <v>-3.1</v>
          </cell>
          <cell r="R270">
            <v>-4.5</v>
          </cell>
          <cell r="S270">
            <v>3.6</v>
          </cell>
          <cell r="T270">
            <v>2.2999999999999998</v>
          </cell>
          <cell r="U270">
            <v>1.8</v>
          </cell>
          <cell r="V270">
            <v>3.3</v>
          </cell>
        </row>
        <row r="271">
          <cell r="A271" t="str">
            <v>Cost for pandemic suspension of collection*</v>
          </cell>
          <cell r="B271" t="str">
            <v>Kostnad för pandemirelaterat anstånd</v>
          </cell>
          <cell r="K271">
            <v>0.7</v>
          </cell>
          <cell r="L271">
            <v>1.1000000000000001</v>
          </cell>
          <cell r="M271">
            <v>3.4</v>
          </cell>
          <cell r="N271">
            <v>4.0999999999999996</v>
          </cell>
          <cell r="O271">
            <v>1.2</v>
          </cell>
          <cell r="P271">
            <v>2.2999999999999998</v>
          </cell>
          <cell r="Q271">
            <v>3.4</v>
          </cell>
          <cell r="R271">
            <v>4.0999999999999996</v>
          </cell>
          <cell r="S271">
            <v>2.6</v>
          </cell>
          <cell r="T271">
            <v>5.0999999999999996</v>
          </cell>
          <cell r="U271">
            <v>14</v>
          </cell>
          <cell r="V271">
            <v>15.8</v>
          </cell>
        </row>
        <row r="272">
          <cell r="A272" t="str">
            <v>Other financial expenses</v>
          </cell>
          <cell r="B272" t="str">
            <v>Övriga finansiella kostnader</v>
          </cell>
          <cell r="K272">
            <v>0.4</v>
          </cell>
          <cell r="L272">
            <v>1.3</v>
          </cell>
          <cell r="M272">
            <v>3</v>
          </cell>
          <cell r="N272">
            <v>3.3</v>
          </cell>
          <cell r="O272">
            <v>0.7</v>
          </cell>
          <cell r="P272">
            <v>2.8</v>
          </cell>
          <cell r="Q272">
            <v>3</v>
          </cell>
          <cell r="R272">
            <v>3.3</v>
          </cell>
          <cell r="S272">
            <v>0.9</v>
          </cell>
          <cell r="T272">
            <v>2.2999999999999998</v>
          </cell>
          <cell r="U272">
            <v>3.5</v>
          </cell>
          <cell r="V272">
            <v>5.4</v>
          </cell>
        </row>
        <row r="273">
          <cell r="B273" t="str">
            <v>Totalt</v>
          </cell>
          <cell r="K273">
            <v>3.6</v>
          </cell>
          <cell r="L273">
            <v>8.1</v>
          </cell>
          <cell r="M273">
            <v>7.3999999999999995</v>
          </cell>
          <cell r="N273">
            <v>9.1</v>
          </cell>
          <cell r="O273">
            <v>-1.0000000000000004</v>
          </cell>
          <cell r="Q273">
            <v>7.3999999999999995</v>
          </cell>
          <cell r="R273">
            <v>9.1</v>
          </cell>
          <cell r="S273">
            <v>9.1</v>
          </cell>
          <cell r="T273">
            <v>13.8</v>
          </cell>
          <cell r="U273">
            <v>25.5</v>
          </cell>
          <cell r="V273">
            <v>31.6</v>
          </cell>
        </row>
        <row r="276">
          <cell r="A276" t="str">
            <v>Note 6 - Pledged assets and contingent liabilities</v>
          </cell>
          <cell r="B276" t="str">
            <v>Not 6 - Ställda säkerheter och eventualförpliktelser</v>
          </cell>
        </row>
        <row r="277">
          <cell r="F277" t="str">
            <v>30 jun</v>
          </cell>
          <cell r="G277" t="str">
            <v>30 jun</v>
          </cell>
          <cell r="I277" t="str">
            <v>31 dec</v>
          </cell>
        </row>
        <row r="278">
          <cell r="A278" t="str">
            <v>MSEK</v>
          </cell>
          <cell r="B278" t="str">
            <v>Mkr</v>
          </cell>
          <cell r="F278">
            <v>2026</v>
          </cell>
          <cell r="G278">
            <v>2025</v>
          </cell>
          <cell r="I278">
            <v>2025</v>
          </cell>
        </row>
        <row r="279">
          <cell r="A279" t="str">
            <v>Property mortgages</v>
          </cell>
          <cell r="B279" t="str">
            <v>Fastighetsinteckningar</v>
          </cell>
          <cell r="K279">
            <v>82.9</v>
          </cell>
          <cell r="L279">
            <v>82.9</v>
          </cell>
          <cell r="M279">
            <v>82.9</v>
          </cell>
          <cell r="N279">
            <v>82.9</v>
          </cell>
          <cell r="O279">
            <v>82.9</v>
          </cell>
          <cell r="P279">
            <v>82.9</v>
          </cell>
          <cell r="Q279">
            <v>82.9</v>
          </cell>
          <cell r="R279">
            <v>82.9</v>
          </cell>
          <cell r="S279">
            <v>82.9</v>
          </cell>
          <cell r="T279">
            <v>82.9</v>
          </cell>
          <cell r="U279">
            <v>82.9</v>
          </cell>
          <cell r="V279">
            <v>82.9</v>
          </cell>
        </row>
        <row r="280">
          <cell r="A280" t="str">
            <v>Floating charges</v>
          </cell>
          <cell r="B280" t="str">
            <v>Företagsinteckningar</v>
          </cell>
          <cell r="K280">
            <v>420</v>
          </cell>
          <cell r="L280">
            <v>420</v>
          </cell>
          <cell r="M280">
            <v>420</v>
          </cell>
          <cell r="N280">
            <v>420</v>
          </cell>
          <cell r="O280">
            <v>440</v>
          </cell>
          <cell r="P280">
            <v>440</v>
          </cell>
          <cell r="Q280">
            <v>440</v>
          </cell>
          <cell r="R280">
            <v>420</v>
          </cell>
          <cell r="S280">
            <v>440</v>
          </cell>
          <cell r="T280">
            <v>440</v>
          </cell>
          <cell r="U280">
            <v>440</v>
          </cell>
          <cell r="V280">
            <v>440</v>
          </cell>
        </row>
        <row r="281">
          <cell r="A281" t="str">
            <v>Shares in subsidiaries</v>
          </cell>
          <cell r="B281" t="str">
            <v>Aktier i dotterbolag</v>
          </cell>
          <cell r="K281">
            <v>343.2</v>
          </cell>
          <cell r="L281">
            <v>402.7</v>
          </cell>
          <cell r="M281">
            <v>393.2</v>
          </cell>
          <cell r="N281">
            <v>320</v>
          </cell>
          <cell r="O281">
            <v>364</v>
          </cell>
          <cell r="P281">
            <v>386.9</v>
          </cell>
          <cell r="Q281">
            <v>393.2</v>
          </cell>
          <cell r="R281">
            <v>320</v>
          </cell>
          <cell r="S281">
            <v>348.4</v>
          </cell>
          <cell r="T281">
            <v>385.8</v>
          </cell>
          <cell r="U281">
            <v>394.3</v>
          </cell>
          <cell r="V281">
            <v>381.8</v>
          </cell>
        </row>
        <row r="282">
          <cell r="A282" t="str">
            <v>Assets with retention of title</v>
          </cell>
          <cell r="B282" t="str">
            <v>Tillgångar med äganderättsförbehåll</v>
          </cell>
          <cell r="K282">
            <v>0</v>
          </cell>
          <cell r="L282">
            <v>0</v>
          </cell>
          <cell r="M282">
            <v>0</v>
          </cell>
          <cell r="N282">
            <v>0</v>
          </cell>
          <cell r="O282">
            <v>0</v>
          </cell>
          <cell r="P282">
            <v>0</v>
          </cell>
          <cell r="Q282">
            <v>0</v>
          </cell>
          <cell r="R282">
            <v>0</v>
          </cell>
          <cell r="S282">
            <v>0</v>
          </cell>
          <cell r="T282">
            <v>0</v>
          </cell>
          <cell r="U282">
            <v>0</v>
          </cell>
          <cell r="V282">
            <v>0</v>
          </cell>
        </row>
        <row r="283">
          <cell r="A283" t="str">
            <v>Guarantee commitments pensions</v>
          </cell>
          <cell r="B283" t="str">
            <v>Garantiåtaganden pensioner</v>
          </cell>
          <cell r="K283">
            <v>0.3</v>
          </cell>
          <cell r="L283">
            <v>0.3</v>
          </cell>
          <cell r="M283">
            <v>0.3</v>
          </cell>
          <cell r="N283">
            <v>0.3</v>
          </cell>
          <cell r="O283">
            <v>0.3</v>
          </cell>
          <cell r="P283">
            <v>0.3</v>
          </cell>
          <cell r="Q283">
            <v>0.3</v>
          </cell>
          <cell r="R283">
            <v>0.3</v>
          </cell>
          <cell r="S283">
            <v>0.3</v>
          </cell>
          <cell r="T283">
            <v>0.3</v>
          </cell>
          <cell r="U283">
            <v>0.3</v>
          </cell>
          <cell r="V283">
            <v>0.3</v>
          </cell>
        </row>
        <row r="285">
          <cell r="A285" t="str">
            <v>Note 5 - Financial instruments, valued at fair value in statement of financial position</v>
          </cell>
          <cell r="B285" t="str">
            <v>Not 5 - Koncernens finansiella instrument värderade till verkligt värde i rapporten över finansiell ställning</v>
          </cell>
        </row>
        <row r="286">
          <cell r="F286" t="str">
            <v>30 jun</v>
          </cell>
          <cell r="G286" t="str">
            <v>30 jun</v>
          </cell>
          <cell r="I286" t="str">
            <v>31 dec</v>
          </cell>
        </row>
        <row r="287">
          <cell r="A287" t="str">
            <v>MSEK</v>
          </cell>
          <cell r="B287" t="str">
            <v>Mkr</v>
          </cell>
          <cell r="F287">
            <v>2026</v>
          </cell>
          <cell r="G287">
            <v>2025</v>
          </cell>
          <cell r="I287">
            <v>2025</v>
          </cell>
        </row>
        <row r="288">
          <cell r="A288" t="str">
            <v>Short-term receivables:</v>
          </cell>
          <cell r="B288" t="str">
            <v>Kortfristiga fordringar</v>
          </cell>
        </row>
        <row r="289">
          <cell r="B289" t="str">
            <v>Råvaruderivat</v>
          </cell>
          <cell r="F289">
            <v>0</v>
          </cell>
          <cell r="G289">
            <v>0</v>
          </cell>
          <cell r="I289">
            <v>0</v>
          </cell>
        </row>
        <row r="290">
          <cell r="A290" t="str">
            <v>Currency derivatives</v>
          </cell>
          <cell r="B290" t="str">
            <v>Valutaderivat</v>
          </cell>
          <cell r="K290">
            <v>3.7</v>
          </cell>
          <cell r="L290">
            <v>1.7</v>
          </cell>
          <cell r="M290">
            <v>5.3</v>
          </cell>
          <cell r="N290">
            <v>6.6</v>
          </cell>
          <cell r="O290">
            <v>12.4</v>
          </cell>
          <cell r="P290">
            <v>5</v>
          </cell>
          <cell r="Q290">
            <v>5.3</v>
          </cell>
          <cell r="R290">
            <v>6.6</v>
          </cell>
          <cell r="S290">
            <v>0</v>
          </cell>
          <cell r="T290">
            <v>0.3</v>
          </cell>
          <cell r="U290">
            <v>5</v>
          </cell>
          <cell r="V290">
            <v>1.6</v>
          </cell>
        </row>
        <row r="291">
          <cell r="A291" t="str">
            <v>Short-term non interest-bearing liabilities;</v>
          </cell>
          <cell r="B291" t="str">
            <v>Kortfristiga ej räntebärande skulder</v>
          </cell>
        </row>
        <row r="292">
          <cell r="B292" t="str">
            <v>Råvaruderivat</v>
          </cell>
          <cell r="F292">
            <v>0</v>
          </cell>
          <cell r="G292">
            <v>0</v>
          </cell>
          <cell r="H292"/>
        </row>
        <row r="293">
          <cell r="A293" t="str">
            <v>Currency derivatives</v>
          </cell>
          <cell r="B293" t="str">
            <v>Valutaderivat</v>
          </cell>
          <cell r="K293">
            <v>0.8</v>
          </cell>
          <cell r="L293">
            <v>1.2</v>
          </cell>
          <cell r="M293">
            <v>0.1</v>
          </cell>
          <cell r="N293">
            <v>0</v>
          </cell>
          <cell r="O293">
            <v>0</v>
          </cell>
          <cell r="P293">
            <v>0.6</v>
          </cell>
          <cell r="Q293">
            <v>0.1</v>
          </cell>
          <cell r="R293">
            <v>0</v>
          </cell>
          <cell r="S293">
            <v>5.3</v>
          </cell>
          <cell r="T293">
            <v>2.2999999999999998</v>
          </cell>
          <cell r="U293">
            <v>0.9</v>
          </cell>
          <cell r="V293">
            <v>1.7</v>
          </cell>
        </row>
        <row r="294">
          <cell r="A294" t="str">
            <v>Currency derivatives are used for hedge and are valued on level 2 according to IFRS 13.</v>
          </cell>
          <cell r="B294" t="str">
            <v>Valutaderivat används för säkring och är värderade på nivå 2 enligt IFRS 13.</v>
          </cell>
        </row>
        <row r="296">
          <cell r="B296" t="str">
            <v>Terminskontrakt råvara (LME för aluminium)</v>
          </cell>
          <cell r="F296"/>
          <cell r="G296"/>
          <cell r="H296"/>
        </row>
        <row r="297">
          <cell r="B297" t="str">
            <v>Säkrad volym, ton</v>
          </cell>
          <cell r="F297" t="str">
            <v>-</v>
          </cell>
          <cell r="G297" t="str">
            <v>-</v>
          </cell>
          <cell r="H297"/>
        </row>
        <row r="298">
          <cell r="B298" t="str">
            <v>Nominellt belopp, MUSD</v>
          </cell>
          <cell r="F298" t="str">
            <v>-</v>
          </cell>
          <cell r="G298" t="str">
            <v>-</v>
          </cell>
          <cell r="H298"/>
        </row>
        <row r="299">
          <cell r="B299" t="str">
            <v>Senaste förfallotidpunkt</v>
          </cell>
          <cell r="F299" t="str">
            <v>-</v>
          </cell>
          <cell r="G299" t="str">
            <v>-</v>
          </cell>
          <cell r="H299"/>
        </row>
        <row r="300">
          <cell r="A300" t="str">
            <v>Forward contracts foreign exchange</v>
          </cell>
          <cell r="B300" t="str">
            <v>Terminskontrakt valuta</v>
          </cell>
        </row>
        <row r="301">
          <cell r="B301" t="str">
            <v>Säkrat nettoinflöde, MDKK</v>
          </cell>
          <cell r="F301">
            <v>0</v>
          </cell>
          <cell r="G301">
            <v>0</v>
          </cell>
          <cell r="H301"/>
        </row>
        <row r="302">
          <cell r="A302" t="str">
            <v>Hedged future cash flows, MEUR</v>
          </cell>
          <cell r="B302" t="str">
            <v>Säkrat nettoinflöde, MEUR</v>
          </cell>
          <cell r="K302">
            <v>14.1</v>
          </cell>
          <cell r="L302">
            <v>9.3000000000000007</v>
          </cell>
          <cell r="M302">
            <v>20.3</v>
          </cell>
          <cell r="N302">
            <v>14.8</v>
          </cell>
          <cell r="O302">
            <v>23</v>
          </cell>
          <cell r="P302">
            <v>21.7</v>
          </cell>
          <cell r="Q302">
            <v>20.3</v>
          </cell>
          <cell r="R302">
            <v>14.8</v>
          </cell>
          <cell r="S302">
            <v>9.8000000000000007</v>
          </cell>
          <cell r="T302">
            <v>9.1999999999999993</v>
          </cell>
          <cell r="U302">
            <v>26.2</v>
          </cell>
          <cell r="V302">
            <v>26.7</v>
          </cell>
        </row>
        <row r="303">
          <cell r="A303" t="str">
            <v>Notional amount</v>
          </cell>
          <cell r="B303" t="str">
            <v>Nominellt belopp</v>
          </cell>
          <cell r="K303">
            <v>157.9</v>
          </cell>
          <cell r="L303">
            <v>103.4</v>
          </cell>
          <cell r="M303">
            <v>230.2</v>
          </cell>
          <cell r="N303">
            <v>168.8</v>
          </cell>
          <cell r="O303">
            <v>262.89999999999998</v>
          </cell>
          <cell r="P303">
            <v>246.6</v>
          </cell>
          <cell r="Q303">
            <v>230.2</v>
          </cell>
          <cell r="R303">
            <v>168.8</v>
          </cell>
          <cell r="S303">
            <v>106</v>
          </cell>
          <cell r="T303">
            <v>101.9</v>
          </cell>
          <cell r="U303">
            <v>298.5</v>
          </cell>
          <cell r="V303">
            <v>305.5</v>
          </cell>
        </row>
        <row r="304">
          <cell r="A304" t="str">
            <v>Last maturity date of concluded forward contracts</v>
          </cell>
          <cell r="B304" t="str">
            <v>Senaste förfallotidpunkt</v>
          </cell>
          <cell r="K304" t="str">
            <v>2027-09-25</v>
          </cell>
          <cell r="L304" t="str">
            <v>2027-09-25</v>
          </cell>
          <cell r="M304" t="str">
            <v>2026-12-17</v>
          </cell>
          <cell r="N304" t="str">
            <v>2026-12-17</v>
          </cell>
          <cell r="O304" t="str">
            <v>2026-12-15</v>
          </cell>
          <cell r="P304" t="str">
            <v>2026-12-15</v>
          </cell>
          <cell r="Q304" t="str">
            <v>2026-12-17</v>
          </cell>
          <cell r="R304" t="str">
            <v>2026-12-17</v>
          </cell>
          <cell r="S304" t="str">
            <v>2025-12-15</v>
          </cell>
          <cell r="T304" t="str">
            <v>2025-12-15</v>
          </cell>
          <cell r="U304" t="str">
            <v>2026-12-15</v>
          </cell>
          <cell r="V304" t="str">
            <v>2026-12-15</v>
          </cell>
        </row>
        <row r="437">
          <cell r="K437">
            <v>9.3000000000000007</v>
          </cell>
          <cell r="L437">
            <v>10.3</v>
          </cell>
          <cell r="O437">
            <v>1.6</v>
          </cell>
          <cell r="P437">
            <v>41.2</v>
          </cell>
          <cell r="Q437">
            <v>77.900000000000006</v>
          </cell>
          <cell r="R437">
            <v>130.4</v>
          </cell>
        </row>
        <row r="438">
          <cell r="K438">
            <v>-10.9</v>
          </cell>
          <cell r="L438">
            <v>-11.8</v>
          </cell>
          <cell r="O438">
            <v>-3.4</v>
          </cell>
          <cell r="P438">
            <v>-50.8</v>
          </cell>
          <cell r="Q438">
            <v>-91.1</v>
          </cell>
          <cell r="R438">
            <v>-150.1</v>
          </cell>
        </row>
        <row r="439">
          <cell r="K439">
            <v>0</v>
          </cell>
          <cell r="L439">
            <v>0</v>
          </cell>
          <cell r="O439">
            <v>-0.2</v>
          </cell>
          <cell r="P439">
            <v>-0.2</v>
          </cell>
          <cell r="Q439">
            <v>-0.5</v>
          </cell>
          <cell r="R439">
            <v>-1.1000000000000001</v>
          </cell>
        </row>
        <row r="440">
          <cell r="K440">
            <v>-1.7</v>
          </cell>
          <cell r="L440">
            <v>-2.5</v>
          </cell>
          <cell r="O440">
            <v>-1.4</v>
          </cell>
          <cell r="P440">
            <v>-2.6</v>
          </cell>
          <cell r="Q440">
            <v>-6.7</v>
          </cell>
          <cell r="R440">
            <v>-18.3</v>
          </cell>
        </row>
        <row r="441">
          <cell r="K441">
            <v>-3.3</v>
          </cell>
          <cell r="L441">
            <v>-4</v>
          </cell>
          <cell r="O441">
            <v>-3.3999999999999995</v>
          </cell>
          <cell r="P441">
            <v>-12.399999999999993</v>
          </cell>
          <cell r="Q441">
            <v>-20.399999999999988</v>
          </cell>
          <cell r="R441">
            <v>-39.099999999999994</v>
          </cell>
        </row>
        <row r="442">
          <cell r="K442">
            <v>0</v>
          </cell>
          <cell r="L442">
            <v>0</v>
          </cell>
          <cell r="O442">
            <v>0</v>
          </cell>
          <cell r="P442">
            <v>0.1</v>
          </cell>
          <cell r="Q442">
            <v>0.5</v>
          </cell>
          <cell r="R442">
            <v>0.8</v>
          </cell>
        </row>
        <row r="443">
          <cell r="K443">
            <v>-0.2</v>
          </cell>
          <cell r="L443">
            <v>-0.3</v>
          </cell>
          <cell r="O443">
            <v>0</v>
          </cell>
          <cell r="P443">
            <v>-0.5</v>
          </cell>
          <cell r="Q443">
            <v>-0.7</v>
          </cell>
          <cell r="R443">
            <v>-1.7</v>
          </cell>
        </row>
        <row r="444">
          <cell r="K444">
            <v>-3.5</v>
          </cell>
          <cell r="L444">
            <v>-4.3</v>
          </cell>
          <cell r="O444">
            <v>-3.3999999999999995</v>
          </cell>
          <cell r="P444">
            <v>-12.799999999999994</v>
          </cell>
          <cell r="Q444">
            <v>-20.599999999999987</v>
          </cell>
          <cell r="R444">
            <v>-40</v>
          </cell>
        </row>
        <row r="445">
          <cell r="K445">
            <v>0.7</v>
          </cell>
          <cell r="L445">
            <v>0.9</v>
          </cell>
          <cell r="O445">
            <v>0.7</v>
          </cell>
          <cell r="P445">
            <v>2.5</v>
          </cell>
          <cell r="Q445">
            <v>4</v>
          </cell>
          <cell r="R445">
            <v>7.9</v>
          </cell>
        </row>
        <row r="446">
          <cell r="K446">
            <v>-2.8</v>
          </cell>
          <cell r="L446">
            <v>-3.4</v>
          </cell>
          <cell r="O446">
            <v>-2.6999999999999993</v>
          </cell>
          <cell r="P446">
            <v>-10.299999999999994</v>
          </cell>
          <cell r="Q446">
            <v>-16.599999999999987</v>
          </cell>
          <cell r="R446">
            <v>-32.1</v>
          </cell>
        </row>
        <row r="450">
          <cell r="K450">
            <v>31.2</v>
          </cell>
          <cell r="L450">
            <v>33.700000000000003</v>
          </cell>
          <cell r="O450">
            <v>-14.4</v>
          </cell>
          <cell r="P450">
            <v>-48</v>
          </cell>
          <cell r="Q450">
            <v>-65.8</v>
          </cell>
          <cell r="R450">
            <v>-72</v>
          </cell>
        </row>
        <row r="451">
          <cell r="K451">
            <v>0</v>
          </cell>
          <cell r="L451">
            <v>0</v>
          </cell>
          <cell r="O451">
            <v>0</v>
          </cell>
          <cell r="P451">
            <v>-1.1000000000000001</v>
          </cell>
          <cell r="Q451">
            <v>-1.3</v>
          </cell>
          <cell r="R451">
            <v>-0.5</v>
          </cell>
        </row>
        <row r="452">
          <cell r="K452">
            <v>0</v>
          </cell>
          <cell r="L452">
            <v>0</v>
          </cell>
          <cell r="O452">
            <v>0</v>
          </cell>
          <cell r="P452">
            <v>0</v>
          </cell>
          <cell r="Q452">
            <v>0</v>
          </cell>
          <cell r="R452">
            <v>0</v>
          </cell>
        </row>
        <row r="453">
          <cell r="K453">
            <v>31.2</v>
          </cell>
          <cell r="L453">
            <v>33.700000000000003</v>
          </cell>
          <cell r="O453">
            <v>-14.4</v>
          </cell>
          <cell r="P453">
            <v>-49.1</v>
          </cell>
          <cell r="Q453">
            <v>-67.099999999999994</v>
          </cell>
          <cell r="R453">
            <v>-72.5</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 9 - Polen"/>
    </sheetNames>
    <sheetDataSet>
      <sheetData sheetId="0">
        <row r="23">
          <cell r="C23">
            <v>31.2</v>
          </cell>
          <cell r="D23">
            <v>-14.4</v>
          </cell>
        </row>
        <row r="24">
          <cell r="C24">
            <v>0</v>
          </cell>
          <cell r="D24">
            <v>0</v>
          </cell>
        </row>
        <row r="25">
          <cell r="C25">
            <v>0</v>
          </cell>
          <cell r="D25">
            <v>0</v>
          </cell>
        </row>
      </sheetData>
    </sheetDataSet>
  </externalBook>
</externalLink>
</file>

<file path=xl/persons/person.xml><?xml version="1.0" encoding="utf-8"?>
<personList xmlns="http://schemas.microsoft.com/office/spreadsheetml/2018/threadedcomments" xmlns:x="http://schemas.openxmlformats.org/spreadsheetml/2006/main">
  <person displayName="Per Normann" id="{D13C5F1F-BF5E-4376-AFB9-B899CEC50B62}" userId="per.normann@profilgruppen.se" providerId="PeoplePicker"/>
  <person displayName="Per Normann" id="{68FFE396-B50C-4482-8B64-75E31925866C}" userId="S::per.normann@profilgruppen.se::0761a3e9-ac6f-4fe7-af42-d243251985cb" providerId="AD"/>
  <person displayName="Henrik Carlsson" id="{013BDD49-B3C4-455A-AB58-732CD949D152}" userId="S::henrik.carlsson@profilgruppen.se::57aaab51-d721-4b47-bc59-bc1f37c3ea19" providerId="AD"/>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 dT="2026-04-29T08:09:14.22" personId="{013BDD49-B3C4-455A-AB58-732CD949D152}" id="{A18848B8-4786-4E98-8A3E-5C79BCA32C3E}">
    <text>@Per Normann 
Har vi en logisk uppställning på denna fliken? Är det lätt att följa vad som händer? Är det lätt att förstå vart siffrorna hämtas från? Eller kan vi förtydliga detta?
Kan vi ta bort överflödig information för att göra fliken ”cleanare”?
Vad är vår ”avstämnings-funktion”?</text>
    <mentions>
      <mention mentionpersonId="{D13C5F1F-BF5E-4376-AFB9-B899CEC50B62}" mentionId="{D417E868-9636-48EA-86C4-58DE72B01E99}" startIndex="0" length="12"/>
    </mentions>
  </threadedComment>
  <threadedComment ref="E12" dT="2026-04-29T08:14:10.15" personId="{013BDD49-B3C4-455A-AB58-732CD949D152}" id="{A1564E55-1728-4F33-9E2D-3314E57DAEBD}">
    <text>Har vi knackat in rätt siffror här?</text>
  </threadedComment>
  <threadedComment ref="P22" dT="2026-04-29T08:12:25.05" personId="{013BDD49-B3C4-455A-AB58-732CD949D152}" id="{5CD32A95-23BD-457E-AD3D-2A42ED42E804}">
    <text>@Per Normann stämmer verkligen dessa siffror med IFRS-avskrivningar i ”RANMaster”-fil?</text>
    <mentions>
      <mention mentionpersonId="{D13C5F1F-BF5E-4376-AFB9-B899CEC50B62}" mentionId="{216C927D-E486-45A7-9491-3406CCD9A75B}" startIndex="0" length="12"/>
    </mentions>
  </threadedComment>
  <threadedComment ref="Q22" dT="2026-04-29T08:12:25.05" personId="{013BDD49-B3C4-455A-AB58-732CD949D152}" id="{6FD492DB-E50F-4143-A634-392C3C369C9D}">
    <text>@Per Normann stämmer verkligen dessa siffror med IFRS-avskrivningar i ”RANMaster”-fil?</text>
    <mentions>
      <mention mentionpersonId="{D13C5F1F-BF5E-4376-AFB9-B899CEC50B62}" mentionId="{72D49FFA-0681-4718-AB38-139FDE93AB33}" startIndex="0" length="12"/>
    </mentions>
  </threadedComment>
  <threadedComment ref="P28" dT="2026-04-29T08:11:56.34" personId="{013BDD49-B3C4-455A-AB58-732CD949D152}" id="{B65AD750-E220-4703-9E76-4DE11560180B}">
    <text xml:space="preserve">Kan vi förtydliga hur/ att  denna hänger med filen ”RANMaster”? @Per Normann </text>
    <mentions>
      <mention mentionpersonId="{D13C5F1F-BF5E-4376-AFB9-B899CEC50B62}" mentionId="{7A719D92-3186-48BB-BD28-1D843F2499AE}" startIndex="64" length="12"/>
    </mentions>
  </threadedComment>
  <threadedComment ref="Q28" dT="2026-04-29T08:11:56.34" personId="{013BDD49-B3C4-455A-AB58-732CD949D152}" id="{641BDCAE-12F9-4D17-AA63-CDAAFDCC05F9}" done="1">
    <text xml:space="preserve">Kan vi förtydliga hur/ att  denna hänger med filen ”RANMaster”? @Per Normann </text>
    <mentions>
      <mention mentionpersonId="{D13C5F1F-BF5E-4376-AFB9-B899CEC50B62}" mentionId="{6E81E589-17D7-438F-BBC1-49BA075FD0B2}" startIndex="64" length="12"/>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T11" dT="2026-06-26T08:38:37.77" personId="{013BDD49-B3C4-455A-AB58-732CD949D152}" id="{A5C55BD7-A15D-433A-8B22-58A0C3293B17}">
    <text>Behövs någon justering på ”Varav hänförligt till”-sektionerna?</text>
  </threadedComment>
  <threadedComment ref="BP13" dT="2026-04-14T07:39:38.81" personId="{013BDD49-B3C4-455A-AB58-732CD949D152}" id="{19EB537E-2FFA-4163-BBF8-3C0FC5A088F8}">
    <text>Notera att IFRS-avskrivningar ”omklassificeras” och flyttas ”ned” i P&amp;L:en. OBS! Bokföringsmässiga enligt IFRS P&amp;L:en i sektion 1, EJ ”FULLA”, ”Totala” RAN-avskrivningar.</text>
  </threadedComment>
  <threadedComment ref="IN13" dT="2026-04-15T16:32:30.32" personId="{013BDD49-B3C4-455A-AB58-732CD949D152}" id="{95D777C8-194A-4759-93DE-4E750015D674}">
    <text>I denna sektionen gör vi justeringar i våra IFRS siffror så att bryggan ska vara ”Like-4-Like” och att IFRS och RAN ska ha samma samma poster på samma rader.</text>
  </threadedComment>
  <threadedComment ref="IZ16" dT="2026-04-15T16:44:53.67" personId="{013BDD49-B3C4-455A-AB58-732CD949D152}" id="{1D6B5366-18D4-42DB-B39E-BE0CCA78DED2}">
    <text>Se upp med formel!</text>
  </threadedComment>
  <threadedComment ref="BP20" dT="2026-04-15T15:31:43.01" personId="{013BDD49-B3C4-455A-AB58-732CD949D152}" id="{FB5465D6-DBBA-40C7-89D5-1089065BA202}">
    <text>För RAN avskrivningar måste vi lägga in ”FULLA”, ”Totala” RAN avskrivningar, dvs inte bara ”Deltat”</text>
  </threadedComment>
  <threadedComment ref="IN20" dT="2026-07-07T13:10:05.19" personId="{013BDD49-B3C4-455A-AB58-732CD949D152}" id="{321EDEAD-6182-4F3E-B028-EE758CDDC0F9}">
    <text>IFRS-avskrivningarna ”flyttas ned” så att de ska ligga på samma rad som RAN-avskrivningarna.</text>
  </threadedComment>
  <threadedComment ref="IX21" dT="2026-04-14T14:00:36.21" personId="{013BDD49-B3C4-455A-AB58-732CD949D152}" id="{86D72F53-8252-43D9-B021-0EBE9D967C13}">
    <text>OBS! Se upp med dessa som behöver en manuell justering!</text>
  </threadedComment>
  <threadedComment ref="BP30" dT="2026-04-15T15:25:16.45" personId="{013BDD49-B3C4-455A-AB58-732CD949D152}" id="{178D5D18-C66F-43DE-9C0B-8B5D4F141A81}">
    <text>Detta är ”deltat” på avskrivningarna mellan RAN vs IFRS.</text>
  </threadedComment>
  <threadedComment ref="BP33" dT="2026-04-15T15:27:04.15" personId="{013BDD49-B3C4-455A-AB58-732CD949D152}" id="{8730F52E-C519-405C-AA3D-BA747D7615BA}">
    <text>Detta är deltat på skatt enligt RAN vs IFRS.</text>
  </threadedComment>
  <threadedComment ref="GU35" dT="2026-04-19T08:19:09.91" personId="{013BDD49-B3C4-455A-AB58-732CD949D152}" id="{B48C2566-7BBE-4338-862E-6E23EA512422}">
    <text>OBS! Beräknas på kvarvarande verksamhet!</text>
  </threadedComment>
  <threadedComment ref="CI38" dT="2026-07-09T13:23:45.89" personId="{013BDD49-B3C4-455A-AB58-732CD949D152}" id="{E67A1514-6B25-44E2-B912-982CE8BB4229}">
    <text>Är detta samma under RAN som under IFRS?</text>
  </threadedComment>
  <threadedComment ref="CI48" dT="2026-04-14T07:25:57.69" personId="{013BDD49-B3C4-455A-AB58-732CD949D152}" id="{DDFB0DCB-8073-4B0C-9CD1-A5ED81DDD98D}">
    <text>”Erkänner” vi uppskjuten skatt på detta enligt RAN? ☺️</text>
  </threadedComment>
  <threadedComment ref="GW48" dT="2026-04-27T12:08:07.58" personId="{013BDD49-B3C4-455A-AB58-732CD949D152}" id="{B130B59F-1BCC-46EB-BB91-67DDCEAB4410}">
    <text>Beräkning stämmer med hemsida (”Eget kapital per aktie: Eget kapital exklusive innehav utan bestämmande inflytande dividerat med antal aktier.”)</text>
  </threadedComment>
  <threadedComment ref="D54" dT="2026-06-26T08:38:56.75" personId="{013BDD49-B3C4-455A-AB58-732CD949D152}" id="{2446AE4D-6BC2-4C98-83E8-4C623A0A349E}">
    <text>Behövs någon justering på ”varav hänförligt till”-sektionerna</text>
  </threadedComment>
  <threadedComment ref="CI89" dT="2026-04-14T08:37:16.68" personId="{013BDD49-B3C4-455A-AB58-732CD949D152}" id="{C9A0E6C1-A0FC-4E90-9096-0732795DA410}">
    <text>Här antar vi att all kvarvarande verksamhet är i SE. Men vi har en liten del i DK, NO, DE…?</text>
  </threadedComment>
  <threadedComment ref="GU95" dT="2026-04-19T09:15:20.35" personId="{013BDD49-B3C4-455A-AB58-732CD949D152}" id="{49715DF3-77F2-4DE5-B13C-059A0589AD75}">
    <text>Varför har denna ökat så kraftigt?</text>
  </threadedComment>
  <threadedComment ref="HN183" dT="2026-07-03T07:45:53.66" personId="{013BDD49-B3C4-455A-AB58-732CD949D152}" id="{4E88F4D9-9EDA-4D88-883A-0F5D07A07458}">
    <text>OBS! Se upp med manuell formel!</text>
  </threadedComment>
  <threadedComment ref="HE308" dT="2026-07-13T07:58:09.97" personId="{013BDD49-B3C4-455A-AB58-732CD949D152}" id="{A5DF1A26-B1C4-4318-98CF-BB81473056ED}">
    <text>Ej inrullad enligt beslut från HS. Detta för att hänga med resultat enligt kommunicerad Delårsrapprot Q1.</text>
  </threadedComment>
  <threadedComment ref="GU317" dT="2026-07-06T17:15:34.97" personId="{013BDD49-B3C4-455A-AB58-732CD949D152}" id="{4C0D875B-C4A8-4810-BD93-05637518D96B}">
    <text xml:space="preserve">Nu är vi konsekventa och gör extrapoleringen precis som ovan. Men frågan är om det blir rättvisande? Kanske bättre att ha en klassisk LTM-logik?
</text>
  </threadedComment>
</ThreadedComments>
</file>

<file path=xl/threadedComments/threadedComment3.xml><?xml version="1.0" encoding="utf-8"?>
<ThreadedComments xmlns="http://schemas.microsoft.com/office/spreadsheetml/2018/threadedcomments" xmlns:x="http://schemas.openxmlformats.org/spreadsheetml/2006/main">
  <threadedComment ref="BK5" dT="2026-07-07T16:38:16.05" personId="{013BDD49-B3C4-455A-AB58-732CD949D152}" id="{11533618-374A-4BA8-8A58-B4BBAE823F02}">
    <text>Är den kvartalsvisa förändringen rimlig?</text>
  </threadedComment>
  <threadedComment ref="E29" dT="2026-04-14T09:17:55.87" personId="{013BDD49-B3C4-455A-AB58-732CD949D152}" id="{703AF239-E435-42E1-8B74-DFE9DB5336BC}">
    <text>Henrik tänker vi rätt här? Detta är en RR-post så vi hämtar YTD värden i likhet med BR?</text>
  </threadedComment>
  <threadedComment ref="AH29" dT="2026-04-14T09:30:22.02" personId="{013BDD49-B3C4-455A-AB58-732CD949D152}" id="{17FB8449-9F67-44BE-8E06-45C80ECD925E}">
    <text xml:space="preserve">(1) Denna länkas direkt mot RAN P&amp;L. Dvs den FÅNGAR ev. förändringar i inkomstskatt mellan RAN vs IFRS. Det behövs alltså ingen ”bokning” i BR för detta (Som vi gör för RAN-uppvärderingen av tillgångar)
</text>
  </threadedComment>
  <threadedComment ref="Q70" dT="2026-06-26T10:37:14.63" personId="{013BDD49-B3C4-455A-AB58-732CD949D152}" id="{ED775906-91AF-4D5C-8FE0-E5C6B2DCD143}">
    <text>Glöm ej uppdatera för Q2</text>
  </threadedComment>
  <threadedComment ref="Q70" dT="2026-07-06T16:25:02.36" personId="{68FFE396-B50C-4482-8B64-75E31925866C}" id="{661244B9-7F97-4018-84DA-0F901C8B3EEF}" parentId="{ED775906-91AF-4D5C-8FE0-E5C6B2DCD143}">
    <text>Done</text>
  </threadedComment>
  <threadedComment ref="AT92" dT="2026-06-26T12:35:33.23" personId="{013BDD49-B3C4-455A-AB58-732CD949D152}" id="{440545B3-39B4-4D80-A032-A34988C60557}">
    <text>Glöm ej att uppdatera!</text>
  </threadedComment>
</ThreadedComments>
</file>

<file path=xl/threadedComments/threadedComment4.xml><?xml version="1.0" encoding="utf-8"?>
<ThreadedComments xmlns="http://schemas.microsoft.com/office/spreadsheetml/2018/threadedcomments" xmlns:x="http://schemas.openxmlformats.org/spreadsheetml/2006/main">
  <threadedComment ref="AV6" dT="2026-06-29T13:08:32.18" personId="{013BDD49-B3C4-455A-AB58-732CD949D152}" id="{D7BD39DF-F762-4963-9803-BA5F738CCDD5}">
    <text>Ska vi visa på R12-basis?</text>
  </threadedComment>
  <threadedComment ref="AJ19" dT="2026-06-30T08:30:19.21" personId="{013BDD49-B3C4-455A-AB58-732CD949D152}" id="{23049416-15E3-4FBA-96DF-8DFF064A11F6}">
    <text>OBS! Se upp med R12-beräkningen ovan</text>
  </threadedComment>
</ThreadedComments>
</file>

<file path=xl/threadedComments/threadedComment5.xml><?xml version="1.0" encoding="utf-8"?>
<ThreadedComments xmlns="http://schemas.microsoft.com/office/spreadsheetml/2018/threadedcomments" xmlns:x="http://schemas.openxmlformats.org/spreadsheetml/2006/main">
  <threadedComment ref="AQ5" dT="2026-06-30T08:17:24.25" personId="{013BDD49-B3C4-455A-AB58-732CD949D152}" id="{113B02DE-47D9-4102-B0EE-BB729396A7F9}">
    <text>OBS! Se upp med manuell beräkning av R12-siffror!</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7EF11-2C7C-4C36-B5B3-F82BAD12FF06}">
  <sheetPr>
    <tabColor rgb="FFFFFF00"/>
  </sheetPr>
  <dimension ref="A1:O61"/>
  <sheetViews>
    <sheetView workbookViewId="0"/>
    <sheetView workbookViewId="1"/>
  </sheetViews>
  <sheetFormatPr defaultColWidth="9.140625" defaultRowHeight="15" outlineLevelCol="1" x14ac:dyDescent="0.25"/>
  <cols>
    <col min="1" max="1" width="53.28515625" style="22" customWidth="1"/>
    <col min="2" max="3" width="9.28515625" style="22" customWidth="1" outlineLevel="1"/>
    <col min="4" max="5" width="9.28515625" style="22" customWidth="1"/>
    <col min="6" max="6" width="9.140625" style="22"/>
    <col min="7" max="7" width="7.140625" style="22" customWidth="1"/>
    <col min="8" max="16384" width="9.140625" style="22"/>
  </cols>
  <sheetData>
    <row r="1" spans="1:11" s="2" customFormat="1" ht="11.25" customHeight="1" x14ac:dyDescent="0.15">
      <c r="A1" s="1"/>
      <c r="G1" s="2" t="s">
        <v>0</v>
      </c>
      <c r="H1" s="2">
        <v>43</v>
      </c>
    </row>
    <row r="2" spans="1:11" s="2" customFormat="1" ht="11.25" customHeight="1" x14ac:dyDescent="0.2">
      <c r="A2" s="73"/>
      <c r="B2" s="74" t="str">
        <f>+[2]rapkvart!D87</f>
        <v>Kvartal 2</v>
      </c>
      <c r="C2" s="74" t="str">
        <f>+[2]rapkvart!E87</f>
        <v>Kvartal 2</v>
      </c>
      <c r="D2" s="153" t="str">
        <f>+[2]rapkvart!F87</f>
        <v>Kvartal 1-2</v>
      </c>
      <c r="E2" s="74" t="str">
        <f>+[2]rapkvart!G87</f>
        <v>Kvartal 1-2</v>
      </c>
      <c r="G2" s="2" t="s">
        <v>1</v>
      </c>
      <c r="H2" s="2">
        <v>4</v>
      </c>
    </row>
    <row r="3" spans="1:11" s="2" customFormat="1" ht="9" customHeight="1" x14ac:dyDescent="0.2">
      <c r="A3" s="75"/>
      <c r="B3" s="76">
        <f>+[2]rapkvart!D88</f>
        <v>2026</v>
      </c>
      <c r="C3" s="76">
        <f>+[2]rapkvart!E88</f>
        <v>2025</v>
      </c>
      <c r="D3" s="76">
        <f>+[2]rapkvart!F88</f>
        <v>2026</v>
      </c>
      <c r="E3" s="76">
        <f>+[2]rapkvart!G88</f>
        <v>2025</v>
      </c>
    </row>
    <row r="4" spans="1:11" s="2" customFormat="1" ht="11.1" customHeight="1" x14ac:dyDescent="0.2">
      <c r="A4" s="77" t="s">
        <v>2</v>
      </c>
      <c r="B4" s="78">
        <f>+[2]rapkvart!$D$6</f>
        <v>684.69999999999993</v>
      </c>
      <c r="C4" s="79">
        <f>+[2]rapkvart!$E$6</f>
        <v>671.99999999999989</v>
      </c>
      <c r="D4" s="78">
        <f>+[2]rapkvart!$F$6</f>
        <v>1294.3</v>
      </c>
      <c r="E4" s="79">
        <f>+[2]rapkvart!$G$6</f>
        <v>1311.6</v>
      </c>
    </row>
    <row r="5" spans="1:11" s="2" customFormat="1" ht="9.9499999999999993" customHeight="1" x14ac:dyDescent="0.2">
      <c r="A5" s="111"/>
      <c r="B5" s="110"/>
      <c r="C5" s="110"/>
      <c r="D5" s="110"/>
      <c r="E5" s="112"/>
    </row>
    <row r="6" spans="1:11" s="2" customFormat="1" ht="12.95" customHeight="1" x14ac:dyDescent="0.25">
      <c r="A6" s="113" t="s">
        <v>3</v>
      </c>
      <c r="B6" s="114"/>
      <c r="C6" s="114"/>
      <c r="D6" s="114"/>
      <c r="E6" s="115"/>
    </row>
    <row r="7" spans="1:11" s="2" customFormat="1" ht="12" x14ac:dyDescent="0.2">
      <c r="A7" s="108" t="s">
        <v>4</v>
      </c>
      <c r="B7" s="118">
        <f>+[2]rapkvart!D$183</f>
        <v>0</v>
      </c>
      <c r="C7" s="119">
        <f>+[2]rapkvart!E$183</f>
        <v>0</v>
      </c>
      <c r="D7" s="118">
        <f>+[2]rapkvart!F$183</f>
        <v>0</v>
      </c>
      <c r="E7" s="119">
        <f>+[2]rapkvart!G$183</f>
        <v>0</v>
      </c>
    </row>
    <row r="8" spans="1:11" s="2" customFormat="1" ht="12" x14ac:dyDescent="0.2">
      <c r="A8" s="85" t="s">
        <v>5</v>
      </c>
      <c r="B8" s="86">
        <f>+[2]rapkvart!D$184</f>
        <v>0</v>
      </c>
      <c r="C8" s="87">
        <f>+[2]rapkvart!E$184</f>
        <v>0</v>
      </c>
      <c r="D8" s="86">
        <f>+[2]rapkvart!F$184</f>
        <v>0</v>
      </c>
      <c r="E8" s="87">
        <f>+[2]rapkvart!G$184</f>
        <v>0</v>
      </c>
    </row>
    <row r="9" spans="1:11" s="2" customFormat="1" ht="11.1" customHeight="1" x14ac:dyDescent="0.2">
      <c r="A9" s="82" t="s">
        <v>6</v>
      </c>
      <c r="B9" s="83">
        <f>+[2]rapkvart!$D180</f>
        <v>0</v>
      </c>
      <c r="C9" s="84">
        <f>+[2]rapkvart!$E180</f>
        <v>0</v>
      </c>
      <c r="D9" s="83">
        <f>+[2]rapkvart!$F180</f>
        <v>0</v>
      </c>
      <c r="E9" s="84">
        <f>+[2]rapkvart!$G180</f>
        <v>0</v>
      </c>
    </row>
    <row r="10" spans="1:11" s="2" customFormat="1" ht="11.1" customHeight="1" x14ac:dyDescent="0.2">
      <c r="A10" s="82" t="s">
        <v>7</v>
      </c>
      <c r="B10" s="83">
        <f>+[2]rapkvart!$D181</f>
        <v>0</v>
      </c>
      <c r="C10" s="84">
        <f>+[2]rapkvart!$E181</f>
        <v>0</v>
      </c>
      <c r="D10" s="83">
        <f>+[2]rapkvart!$F181</f>
        <v>0</v>
      </c>
      <c r="E10" s="84">
        <f>+[2]rapkvart!$G181</f>
        <v>0</v>
      </c>
      <c r="G10" s="123"/>
      <c r="H10" s="123"/>
      <c r="I10" s="123"/>
    </row>
    <row r="11" spans="1:11" s="2" customFormat="1" ht="11.1" customHeight="1" x14ac:dyDescent="0.2">
      <c r="A11" s="85" t="s">
        <v>8</v>
      </c>
      <c r="B11" s="86">
        <f>+[2]rapkvart!$D182</f>
        <v>0</v>
      </c>
      <c r="C11" s="87">
        <f>+[2]rapkvart!$E182</f>
        <v>0</v>
      </c>
      <c r="D11" s="86">
        <f>+[2]rapkvart!$F182</f>
        <v>0</v>
      </c>
      <c r="E11" s="87">
        <f>+[2]rapkvart!$G182</f>
        <v>0</v>
      </c>
      <c r="G11" s="123"/>
      <c r="H11" s="123"/>
      <c r="I11" s="123"/>
    </row>
    <row r="12" spans="1:11" s="2" customFormat="1" ht="11.1" customHeight="1" x14ac:dyDescent="0.2">
      <c r="A12" s="109"/>
      <c r="B12" s="110"/>
      <c r="C12" s="110"/>
      <c r="D12" s="110"/>
      <c r="E12" s="112"/>
      <c r="G12" s="123"/>
      <c r="H12" s="123"/>
      <c r="I12" s="123"/>
    </row>
    <row r="13" spans="1:11" s="2" customFormat="1" ht="12.95" customHeight="1" x14ac:dyDescent="0.2">
      <c r="A13" s="151"/>
      <c r="B13" s="74" t="str">
        <f>+B2</f>
        <v>Kvartal 2</v>
      </c>
      <c r="C13" s="74" t="str">
        <f t="shared" ref="C13:E14" si="0">+C2</f>
        <v>Kvartal 2</v>
      </c>
      <c r="D13" s="74" t="str">
        <f t="shared" si="0"/>
        <v>Kvartal 1-2</v>
      </c>
      <c r="E13" s="74" t="str">
        <f t="shared" si="0"/>
        <v>Kvartal 1-2</v>
      </c>
    </row>
    <row r="14" spans="1:11" s="2" customFormat="1" ht="12.95" customHeight="1" x14ac:dyDescent="0.25">
      <c r="A14" s="152" t="s">
        <v>9</v>
      </c>
      <c r="B14" s="76">
        <f>+B3</f>
        <v>2026</v>
      </c>
      <c r="C14" s="76">
        <f t="shared" si="0"/>
        <v>2025</v>
      </c>
      <c r="D14" s="76">
        <f t="shared" si="0"/>
        <v>2026</v>
      </c>
      <c r="E14" s="76">
        <f t="shared" si="0"/>
        <v>2025</v>
      </c>
    </row>
    <row r="15" spans="1:11" s="2" customFormat="1" ht="12" customHeight="1" x14ac:dyDescent="0.2">
      <c r="A15" s="122" t="s">
        <v>10</v>
      </c>
      <c r="B15" s="120">
        <f>+[2]rapkvart!D$144</f>
        <v>114.10000000000005</v>
      </c>
      <c r="C15" s="121">
        <f>+[2]rapkvart!E$144</f>
        <v>63.199999999999847</v>
      </c>
      <c r="D15" s="120">
        <f>+[2]rapkvart!F$144</f>
        <v>186.50000000000006</v>
      </c>
      <c r="E15" s="121">
        <f>+[2]rapkvart!G$144</f>
        <v>142.59999999999991</v>
      </c>
      <c r="K15" s="14"/>
    </row>
    <row r="16" spans="1:11" s="2" customFormat="1" ht="12" customHeight="1" x14ac:dyDescent="0.2">
      <c r="A16" s="108" t="s">
        <v>11</v>
      </c>
      <c r="B16" s="120">
        <f>+[2]rapkvart!D$14</f>
        <v>92.400000000000063</v>
      </c>
      <c r="C16" s="121">
        <f>+[2]rapkvart!E$14</f>
        <v>40.399999999999849</v>
      </c>
      <c r="D16" s="120">
        <f>+[2]rapkvart!F$14</f>
        <v>142.80000000000004</v>
      </c>
      <c r="E16" s="121">
        <f>+[2]rapkvart!G$14</f>
        <v>97.89999999999992</v>
      </c>
      <c r="K16" s="14"/>
    </row>
    <row r="17" spans="1:9" s="2" customFormat="1" ht="11.1" customHeight="1" x14ac:dyDescent="0.2">
      <c r="A17" s="89" t="s">
        <v>12</v>
      </c>
      <c r="B17" s="78">
        <f>+[2]rapkvart!D$27</f>
        <v>70.000000000000071</v>
      </c>
      <c r="C17" s="79">
        <f>+[2]rapkvart!E$27</f>
        <v>18.099999999999856</v>
      </c>
      <c r="D17" s="78">
        <f>+[2]rapkvart!F$27</f>
        <v>104.00000000000004</v>
      </c>
      <c r="E17" s="79">
        <f>+[2]rapkvart!G$27</f>
        <v>61.499999999999915</v>
      </c>
    </row>
    <row r="18" spans="1:9" s="2" customFormat="1" ht="11.1" customHeight="1" x14ac:dyDescent="0.2">
      <c r="A18" s="89" t="s">
        <v>13</v>
      </c>
      <c r="B18" s="91">
        <f>+[2]rapkvart!D$35</f>
        <v>9.25</v>
      </c>
      <c r="C18" s="92">
        <f>+[2]rapkvart!E$35</f>
        <v>2.2599999999999998</v>
      </c>
      <c r="D18" s="91">
        <f>+[2]rapkvart!F$35</f>
        <v>13.7</v>
      </c>
      <c r="E18" s="92">
        <f>+[2]rapkvart!G$35</f>
        <v>7.91</v>
      </c>
      <c r="I18" s="69"/>
    </row>
    <row r="19" spans="1:9" s="2" customFormat="1" ht="11.1" customHeight="1" x14ac:dyDescent="0.2">
      <c r="A19" s="89" t="s">
        <v>14</v>
      </c>
      <c r="B19" s="91">
        <f>+[2]rapkvart!D$174</f>
        <v>-8.9999999999999858E-2</v>
      </c>
      <c r="C19" s="92">
        <f>+[2]rapkvart!E$174</f>
        <v>-1.0200000000000014</v>
      </c>
      <c r="D19" s="91">
        <f>+[2]rapkvart!F$174</f>
        <v>-0.46000000000000085</v>
      </c>
      <c r="E19" s="92">
        <f>+[2]rapkvart!G$174</f>
        <v>-1.3900000000000006</v>
      </c>
      <c r="G19" s="123"/>
      <c r="H19" s="123"/>
      <c r="I19" s="123"/>
    </row>
    <row r="20" spans="1:9" s="2" customFormat="1" ht="9.9499999999999993" customHeight="1" x14ac:dyDescent="0.2">
      <c r="A20" s="96"/>
      <c r="B20" s="98"/>
      <c r="C20" s="98"/>
      <c r="D20" s="98"/>
      <c r="E20" s="97"/>
    </row>
    <row r="21" spans="1:9" s="2" customFormat="1" ht="12.95" customHeight="1" x14ac:dyDescent="0.25">
      <c r="A21" s="105" t="s">
        <v>15</v>
      </c>
      <c r="B21" s="107"/>
      <c r="C21" s="107"/>
      <c r="D21" s="107"/>
      <c r="E21" s="106"/>
    </row>
    <row r="22" spans="1:9" s="2" customFormat="1" ht="12" x14ac:dyDescent="0.2">
      <c r="A22" s="88" t="s">
        <v>16</v>
      </c>
      <c r="B22" s="80" t="s">
        <v>17</v>
      </c>
      <c r="C22" s="81" t="s">
        <v>17</v>
      </c>
      <c r="D22" s="80">
        <f>+[2]rapkvart!$F$156</f>
        <v>104</v>
      </c>
      <c r="E22" s="81">
        <f>+[2]rapkvart!$G$156</f>
        <v>116</v>
      </c>
    </row>
    <row r="23" spans="1:9" s="2" customFormat="1" ht="12" x14ac:dyDescent="0.2">
      <c r="A23" s="116" t="s">
        <v>18</v>
      </c>
      <c r="B23" s="83" t="s">
        <v>17</v>
      </c>
      <c r="C23" s="84" t="s">
        <v>17</v>
      </c>
      <c r="D23" s="83">
        <f>+[2]rapkvart!$H$144</f>
        <v>281.2</v>
      </c>
      <c r="E23" s="84">
        <v>252.2</v>
      </c>
      <c r="G23" s="117" t="s">
        <v>19</v>
      </c>
      <c r="H23" s="117"/>
      <c r="I23" s="117"/>
    </row>
    <row r="24" spans="1:9" s="2" customFormat="1" ht="12" x14ac:dyDescent="0.2">
      <c r="A24" s="116" t="s">
        <v>20</v>
      </c>
      <c r="B24" s="83" t="s">
        <v>17</v>
      </c>
      <c r="C24" s="84" t="s">
        <v>17</v>
      </c>
      <c r="D24" s="83">
        <f>+[2]rapkvart!$F$157</f>
        <v>0.4</v>
      </c>
      <c r="E24" s="84">
        <f>+[2]rapkvart!$G$157</f>
        <v>0.5</v>
      </c>
    </row>
    <row r="25" spans="1:9" s="2" customFormat="1" ht="9.9499999999999993" customHeight="1" x14ac:dyDescent="0.2">
      <c r="A25" s="90" t="s">
        <v>21</v>
      </c>
      <c r="B25" s="86" t="s">
        <v>17</v>
      </c>
      <c r="C25" s="87" t="s">
        <v>17</v>
      </c>
      <c r="D25" s="86">
        <f>+[2]rapkvart!$F$155</f>
        <v>196.5</v>
      </c>
      <c r="E25" s="87">
        <f>+[2]rapkvart!$G$155</f>
        <v>203</v>
      </c>
    </row>
    <row r="26" spans="1:9" s="2" customFormat="1" ht="6" customHeight="1" x14ac:dyDescent="0.2">
      <c r="B26" s="98"/>
      <c r="C26" s="98"/>
      <c r="D26" s="98"/>
      <c r="E26" s="98"/>
    </row>
    <row r="27" spans="1:9" s="2" customFormat="1" ht="13.5" customHeight="1" x14ac:dyDescent="0.15"/>
    <row r="28" spans="1:9" s="2" customFormat="1" ht="13.5" customHeight="1" x14ac:dyDescent="0.15"/>
    <row r="29" spans="1:9" s="2" customFormat="1" ht="13.5" customHeight="1" x14ac:dyDescent="0.15"/>
    <row r="30" spans="1:9" s="2" customFormat="1" ht="13.5" customHeight="1" x14ac:dyDescent="0.15"/>
    <row r="31" spans="1:9" s="2" customFormat="1" ht="13.5" customHeight="1" x14ac:dyDescent="0.15"/>
    <row r="32" spans="1:9" s="2" customFormat="1" ht="9.9499999999999993" customHeight="1" x14ac:dyDescent="0.15"/>
    <row r="33" spans="7:15" s="2" customFormat="1" ht="9.9499999999999993" customHeight="1" x14ac:dyDescent="0.15"/>
    <row r="34" spans="7:15" s="2" customFormat="1" ht="11.25" customHeight="1" x14ac:dyDescent="0.2">
      <c r="G34" s="2" t="s">
        <v>1</v>
      </c>
      <c r="H34" s="2">
        <v>4</v>
      </c>
      <c r="K34" s="73"/>
      <c r="L34" s="153" t="s">
        <v>22</v>
      </c>
      <c r="M34" s="74" t="s">
        <v>22</v>
      </c>
      <c r="N34" s="74" t="s">
        <v>23</v>
      </c>
      <c r="O34" s="74" t="s">
        <v>23</v>
      </c>
    </row>
    <row r="35" spans="7:15" s="2" customFormat="1" ht="11.25" customHeight="1" x14ac:dyDescent="0.2">
      <c r="K35" s="155"/>
      <c r="L35" s="156">
        <v>2025</v>
      </c>
      <c r="M35" s="156">
        <v>2024</v>
      </c>
      <c r="N35" s="156">
        <v>2025</v>
      </c>
      <c r="O35" s="156">
        <v>2024</v>
      </c>
    </row>
    <row r="36" spans="7:15" s="2" customFormat="1" ht="12" customHeight="1" x14ac:dyDescent="0.2">
      <c r="K36" s="159" t="s">
        <v>2</v>
      </c>
      <c r="L36" s="160">
        <v>520.40000000000009</v>
      </c>
      <c r="M36" s="161">
        <v>579.50000000000023</v>
      </c>
      <c r="N36" s="160">
        <v>2329.8000000000002</v>
      </c>
      <c r="O36" s="161">
        <v>2271.8000000000002</v>
      </c>
    </row>
    <row r="37" spans="7:15" s="2" customFormat="1" ht="12" customHeight="1" x14ac:dyDescent="0.2">
      <c r="G37" s="117" t="s">
        <v>19</v>
      </c>
      <c r="H37" s="117"/>
      <c r="I37" s="117"/>
      <c r="K37" s="162" t="s">
        <v>24</v>
      </c>
      <c r="L37" s="160">
        <v>43.400000000000091</v>
      </c>
      <c r="M37" s="161">
        <v>50.600000000000229</v>
      </c>
      <c r="N37" s="160">
        <v>237.30000000000013</v>
      </c>
      <c r="O37" s="161">
        <v>252.2</v>
      </c>
    </row>
    <row r="38" spans="7:15" s="2" customFormat="1" ht="12" customHeight="1" x14ac:dyDescent="0.2">
      <c r="G38" s="117" t="s">
        <v>19</v>
      </c>
      <c r="H38" s="117"/>
      <c r="I38" s="117"/>
      <c r="K38" s="163" t="s">
        <v>25</v>
      </c>
      <c r="L38" s="164">
        <v>6.2000000000000011</v>
      </c>
      <c r="M38" s="165">
        <v>1.4000000000000004</v>
      </c>
      <c r="N38" s="164">
        <v>-7.3999999999999995</v>
      </c>
      <c r="O38" s="165">
        <v>8.8000000000000007</v>
      </c>
    </row>
    <row r="39" spans="7:15" s="2" customFormat="1" ht="12.95" customHeight="1" x14ac:dyDescent="0.25">
      <c r="K39" s="157"/>
      <c r="L39" s="2473" t="s">
        <v>3</v>
      </c>
      <c r="M39" s="2474"/>
      <c r="N39" s="2475" t="s">
        <v>26</v>
      </c>
      <c r="O39" s="2476"/>
    </row>
    <row r="40" spans="7:15" s="2" customFormat="1" ht="12" customHeight="1" x14ac:dyDescent="0.25">
      <c r="K40" s="158" t="s">
        <v>22</v>
      </c>
      <c r="L40" s="76">
        <v>2025</v>
      </c>
      <c r="M40" s="76">
        <v>2024</v>
      </c>
      <c r="N40" s="76">
        <v>2025</v>
      </c>
      <c r="O40" s="76">
        <v>2024</v>
      </c>
    </row>
    <row r="41" spans="7:15" s="2" customFormat="1" ht="12" customHeight="1" x14ac:dyDescent="0.2">
      <c r="K41" s="166" t="s">
        <v>27</v>
      </c>
      <c r="L41" s="160">
        <v>-10.024999999999896</v>
      </c>
      <c r="M41" s="161">
        <v>-12.124999999999787</v>
      </c>
      <c r="N41" s="160">
        <v>18.300000000000093</v>
      </c>
      <c r="O41" s="161">
        <v>12.20000000000023</v>
      </c>
    </row>
    <row r="42" spans="7:15" s="2" customFormat="1" ht="12" customHeight="1" x14ac:dyDescent="0.2">
      <c r="K42" s="166" t="s">
        <v>28</v>
      </c>
      <c r="L42" s="167">
        <v>-1.4630800368979859</v>
      </c>
      <c r="M42" s="168">
        <v>-1.6387847988349133</v>
      </c>
      <c r="N42" s="167">
        <v>1.8499999999999996</v>
      </c>
      <c r="O42" s="168">
        <v>1.66</v>
      </c>
    </row>
    <row r="43" spans="7:15" s="2" customFormat="1" ht="12" customHeight="1" x14ac:dyDescent="0.2">
      <c r="K43" s="166" t="s">
        <v>29</v>
      </c>
      <c r="L43" s="160">
        <v>-3</v>
      </c>
      <c r="M43" s="161">
        <v>-3.5</v>
      </c>
      <c r="N43" s="160">
        <v>10.4</v>
      </c>
      <c r="O43" s="161">
        <v>7.3</v>
      </c>
    </row>
    <row r="44" spans="7:15" s="2" customFormat="1" ht="12" customHeight="1" x14ac:dyDescent="0.2">
      <c r="G44" s="123"/>
      <c r="H44" s="123"/>
      <c r="I44" s="123"/>
      <c r="K44" s="166" t="s">
        <v>30</v>
      </c>
      <c r="L44" s="160">
        <v>-25.424999999999894</v>
      </c>
      <c r="M44" s="161">
        <v>-12.124999999999787</v>
      </c>
      <c r="N44" s="160">
        <v>-1.0999999999999055</v>
      </c>
      <c r="O44" s="161">
        <v>12.20000000000023</v>
      </c>
    </row>
    <row r="45" spans="7:15" s="2" customFormat="1" ht="12" customHeight="1" x14ac:dyDescent="0.2">
      <c r="G45" s="123"/>
      <c r="H45" s="123"/>
      <c r="I45" s="123"/>
      <c r="K45" s="166" t="s">
        <v>31</v>
      </c>
      <c r="L45" s="167">
        <v>-3.5445056783048399</v>
      </c>
      <c r="M45" s="168">
        <v>-1.6387847988349133</v>
      </c>
      <c r="N45" s="167">
        <v>-0.24000000000000021</v>
      </c>
      <c r="O45" s="168">
        <v>1.66</v>
      </c>
    </row>
    <row r="46" spans="7:15" s="2" customFormat="1" ht="12" x14ac:dyDescent="0.2">
      <c r="K46" s="154"/>
      <c r="L46" s="118"/>
      <c r="M46" s="119"/>
      <c r="N46" s="118"/>
      <c r="O46" s="119"/>
    </row>
    <row r="47" spans="7:15" s="2" customFormat="1" ht="12" customHeight="1" x14ac:dyDescent="0.25">
      <c r="K47" s="158" t="s">
        <v>32</v>
      </c>
      <c r="L47" s="156">
        <v>2025</v>
      </c>
      <c r="M47" s="156">
        <v>2024</v>
      </c>
      <c r="N47" s="156">
        <v>2025</v>
      </c>
      <c r="O47" s="156">
        <v>2024</v>
      </c>
    </row>
    <row r="48" spans="7:15" s="2" customFormat="1" ht="12" customHeight="1" x14ac:dyDescent="0.2">
      <c r="K48" s="166" t="s">
        <v>27</v>
      </c>
      <c r="L48" s="160">
        <v>32.967789669590857</v>
      </c>
      <c r="M48" s="161">
        <v>26.822182981901957</v>
      </c>
      <c r="N48" s="160">
        <v>118.10000000000011</v>
      </c>
      <c r="O48" s="161">
        <v>100.10000000000015</v>
      </c>
    </row>
    <row r="49" spans="9:15" s="2" customFormat="1" ht="12" customHeight="1" x14ac:dyDescent="0.2">
      <c r="I49" s="69"/>
      <c r="K49" s="166" t="s">
        <v>28</v>
      </c>
      <c r="L49" s="167">
        <v>3.8341197927482393</v>
      </c>
      <c r="M49" s="168">
        <v>2.7602113838982745</v>
      </c>
      <c r="N49" s="167">
        <v>14.27</v>
      </c>
      <c r="O49" s="168">
        <v>12.67</v>
      </c>
    </row>
    <row r="50" spans="9:15" s="2" customFormat="1" ht="12" customHeight="1" x14ac:dyDescent="0.2">
      <c r="I50" s="123"/>
      <c r="K50" s="166" t="s">
        <v>29</v>
      </c>
      <c r="L50" s="160">
        <v>2</v>
      </c>
      <c r="M50" s="161">
        <v>1.5</v>
      </c>
      <c r="N50" s="160">
        <v>17.600000000000001</v>
      </c>
      <c r="O50" s="161">
        <v>15.5</v>
      </c>
    </row>
    <row r="51" spans="9:15" s="2" customFormat="1" ht="12" customHeight="1" x14ac:dyDescent="0.2">
      <c r="K51" s="166" t="s">
        <v>30</v>
      </c>
      <c r="L51" s="160">
        <v>0.85258966959085747</v>
      </c>
      <c r="M51" s="161">
        <v>26.822182981901957</v>
      </c>
      <c r="N51" s="160">
        <v>78.100000000000108</v>
      </c>
      <c r="O51" s="161">
        <v>100.10000000000015</v>
      </c>
    </row>
    <row r="52" spans="9:15" s="2" customFormat="1" ht="12" customHeight="1" x14ac:dyDescent="0.2">
      <c r="K52" s="166" t="s">
        <v>31</v>
      </c>
      <c r="L52" s="167">
        <v>-0.50649064614198247</v>
      </c>
      <c r="M52" s="168">
        <v>2.7602113838982745</v>
      </c>
      <c r="N52" s="167">
        <v>9.94</v>
      </c>
      <c r="O52" s="168">
        <v>12.67</v>
      </c>
    </row>
    <row r="53" spans="9:15" s="2" customFormat="1" ht="11.1" customHeight="1" x14ac:dyDescent="0.2">
      <c r="K53" s="166"/>
      <c r="L53" s="167"/>
      <c r="M53" s="168"/>
      <c r="N53" s="167"/>
      <c r="O53" s="168"/>
    </row>
    <row r="54" spans="9:15" s="2" customFormat="1" ht="14.25" customHeight="1" x14ac:dyDescent="0.2">
      <c r="K54" s="166" t="s">
        <v>33</v>
      </c>
      <c r="L54" s="160">
        <v>-0.3</v>
      </c>
      <c r="M54" s="161">
        <v>1.5</v>
      </c>
      <c r="N54" s="160">
        <v>11.2</v>
      </c>
      <c r="O54" s="161">
        <v>15.5</v>
      </c>
    </row>
    <row r="55" spans="9:15" s="2" customFormat="1" ht="12" customHeight="1" x14ac:dyDescent="0.2">
      <c r="K55" s="166"/>
      <c r="L55" s="173">
        <v>46022</v>
      </c>
      <c r="M55" s="173">
        <v>45657</v>
      </c>
      <c r="N55" s="173">
        <v>46022</v>
      </c>
      <c r="O55" s="173">
        <v>45657</v>
      </c>
    </row>
    <row r="56" spans="9:15" s="2" customFormat="1" ht="12" customHeight="1" x14ac:dyDescent="0.2">
      <c r="K56" s="162" t="s">
        <v>34</v>
      </c>
      <c r="L56" s="160">
        <v>1427.4738886378877</v>
      </c>
      <c r="M56" s="161">
        <v>1386.2738886378875</v>
      </c>
      <c r="N56" s="160">
        <v>698.8</v>
      </c>
      <c r="O56" s="161">
        <v>657.59999999999991</v>
      </c>
    </row>
    <row r="57" spans="9:15" s="2" customFormat="1" ht="12" customHeight="1" x14ac:dyDescent="0.2">
      <c r="K57" s="166" t="s">
        <v>35</v>
      </c>
      <c r="L57" s="167">
        <v>192.93</v>
      </c>
      <c r="M57" s="168">
        <v>187.37</v>
      </c>
      <c r="N57" s="167">
        <v>94.45</v>
      </c>
      <c r="O57" s="168">
        <v>88.88</v>
      </c>
    </row>
    <row r="58" spans="9:15" s="2" customFormat="1" ht="14.25" customHeight="1" x14ac:dyDescent="0.2">
      <c r="K58" s="169"/>
      <c r="L58" s="174"/>
      <c r="M58" s="175"/>
      <c r="N58" s="174"/>
      <c r="O58" s="175"/>
    </row>
    <row r="59" spans="9:15" ht="12" customHeight="1" x14ac:dyDescent="0.25">
      <c r="K59" s="170" t="s">
        <v>36</v>
      </c>
      <c r="L59" s="171">
        <v>2318.3253005514957</v>
      </c>
      <c r="M59" s="172">
        <v>2275.6253005514959</v>
      </c>
      <c r="N59" s="171">
        <v>1400.6</v>
      </c>
      <c r="O59" s="172">
        <v>1357.8999999999999</v>
      </c>
    </row>
    <row r="60" spans="9:15" ht="12" customHeight="1" x14ac:dyDescent="0.25"/>
    <row r="61" spans="9:15" ht="12" customHeight="1" x14ac:dyDescent="0.25"/>
  </sheetData>
  <mergeCells count="2">
    <mergeCell ref="L39:M39"/>
    <mergeCell ref="N39:O3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A8F84-8C32-4D60-BA76-21A3E54BF481}">
  <sheetPr>
    <tabColor theme="5" tint="-0.249977111117893"/>
  </sheetPr>
  <dimension ref="A2:CF67"/>
  <sheetViews>
    <sheetView workbookViewId="0"/>
    <sheetView workbookViewId="1"/>
  </sheetViews>
  <sheetFormatPr defaultColWidth="9.140625" defaultRowHeight="15" outlineLevelCol="1" x14ac:dyDescent="0.25"/>
  <cols>
    <col min="1" max="1" width="4.42578125" style="774" customWidth="1"/>
    <col min="2" max="2" width="27" style="774" customWidth="1"/>
    <col min="3" max="3" width="35.42578125" style="774" customWidth="1"/>
    <col min="4" max="4" width="1.5703125" style="774" customWidth="1"/>
    <col min="5" max="11" width="6" style="774" customWidth="1"/>
    <col min="12" max="12" width="1.5703125" style="774" customWidth="1"/>
    <col min="13" max="19" width="6.140625" style="774" customWidth="1"/>
    <col min="20" max="20" width="2.28515625" style="774" customWidth="1"/>
    <col min="21" max="27" width="5.85546875" style="774" customWidth="1"/>
    <col min="28" max="28" width="2.5703125" style="774" customWidth="1"/>
    <col min="29" max="29" width="5.85546875" style="774" customWidth="1"/>
    <col min="30" max="30" width="8.28515625" style="774" customWidth="1"/>
    <col min="31" max="32" width="5.85546875" style="774" customWidth="1"/>
    <col min="33" max="33" width="11.7109375" style="774" customWidth="1"/>
    <col min="34" max="34" width="8.5703125" style="774" customWidth="1"/>
    <col min="35" max="35" width="8.42578125" style="774" customWidth="1"/>
    <col min="36" max="36" width="7" style="774" customWidth="1"/>
    <col min="37" max="40" width="5.85546875" style="774" customWidth="1"/>
    <col min="41" max="41" width="1.5703125" style="774" customWidth="1"/>
    <col min="42" max="53" width="5.42578125" style="774" customWidth="1"/>
    <col min="54" max="54" width="1.5703125" style="774" customWidth="1"/>
    <col min="55" max="59" width="5.7109375" style="774" hidden="1" customWidth="1" outlineLevel="1"/>
    <col min="60" max="62" width="5.140625" style="774" hidden="1" customWidth="1" outlineLevel="1"/>
    <col min="63" max="66" width="6.85546875" style="774" hidden="1" customWidth="1" outlineLevel="1"/>
    <col min="67" max="67" width="1.140625" style="774" customWidth="1" collapsed="1"/>
    <col min="68" max="79" width="6.140625" style="774" customWidth="1"/>
    <col min="80" max="80" width="0.85546875" style="774" customWidth="1"/>
    <col min="81" max="16384" width="9.140625" style="774"/>
  </cols>
  <sheetData>
    <row r="2" spans="1:84" ht="15.75" thickBot="1" x14ac:dyDescent="0.3"/>
    <row r="3" spans="1:84" x14ac:dyDescent="0.25">
      <c r="AO3" s="1524"/>
      <c r="AP3" s="1525"/>
      <c r="AQ3" s="1525"/>
      <c r="AR3" s="1525"/>
      <c r="AS3" s="1525"/>
      <c r="AT3" s="1525"/>
      <c r="AU3" s="1525"/>
      <c r="AV3" s="1525"/>
      <c r="AW3" s="1525"/>
      <c r="AX3" s="1525"/>
      <c r="AY3" s="1525"/>
      <c r="AZ3" s="1525"/>
      <c r="BA3" s="1525"/>
      <c r="BB3" s="1526"/>
    </row>
    <row r="4" spans="1:84" s="1300" customFormat="1" ht="21" x14ac:dyDescent="0.35">
      <c r="E4" s="1330" t="s">
        <v>151</v>
      </c>
      <c r="F4" s="1330"/>
      <c r="G4" s="1330"/>
      <c r="H4" s="1330"/>
      <c r="I4" s="1330"/>
      <c r="J4" s="1330"/>
      <c r="K4" s="1330"/>
      <c r="L4" s="1330"/>
      <c r="M4" s="1330"/>
      <c r="N4" s="1330"/>
      <c r="O4" s="1330"/>
      <c r="P4" s="1330"/>
      <c r="Q4" s="1330"/>
      <c r="R4" s="1330"/>
      <c r="S4" s="1330"/>
      <c r="T4" s="1330"/>
      <c r="U4" s="1330"/>
      <c r="V4" s="1330"/>
      <c r="W4" s="1330"/>
      <c r="X4" s="1330"/>
      <c r="Y4" s="1330"/>
      <c r="Z4" s="1330"/>
      <c r="AA4" s="1330"/>
      <c r="AB4" s="1299"/>
      <c r="AC4" s="1330" t="s">
        <v>152</v>
      </c>
      <c r="AD4" s="1330"/>
      <c r="AE4" s="1330"/>
      <c r="AF4" s="1330"/>
      <c r="AG4" s="1330"/>
      <c r="AH4" s="1330"/>
      <c r="AI4" s="1330"/>
      <c r="AJ4" s="1330"/>
      <c r="AK4" s="1330"/>
      <c r="AL4" s="1330"/>
      <c r="AM4" s="1330"/>
      <c r="AN4" s="1330"/>
      <c r="AO4" s="1527"/>
      <c r="AP4" s="1331"/>
      <c r="AQ4" s="1330"/>
      <c r="AR4" s="1330"/>
      <c r="AS4" s="1330"/>
      <c r="AT4" s="1330"/>
      <c r="AU4" s="1330"/>
      <c r="AV4" s="1330"/>
      <c r="AW4" s="1330"/>
      <c r="AX4" s="1331"/>
      <c r="AY4" s="1331"/>
      <c r="AZ4" s="1331"/>
      <c r="BA4" s="1331"/>
      <c r="BB4" s="1528"/>
      <c r="BC4" s="1331"/>
      <c r="BD4" s="1331"/>
      <c r="BE4" s="1331"/>
      <c r="BF4" s="1331"/>
      <c r="BG4" s="1331"/>
      <c r="BH4" s="1331"/>
      <c r="BI4" s="1331"/>
      <c r="BJ4" s="1331"/>
      <c r="BK4" s="1331"/>
      <c r="BL4" s="1331"/>
      <c r="BM4" s="1331"/>
      <c r="BN4" s="1331"/>
      <c r="BP4" s="1330" t="s">
        <v>768</v>
      </c>
      <c r="BQ4" s="1330"/>
      <c r="BR4" s="1330"/>
      <c r="BS4" s="1330"/>
      <c r="BT4" s="1330"/>
      <c r="BU4" s="1330"/>
      <c r="BV4" s="1330"/>
      <c r="BW4" s="1330"/>
      <c r="BX4" s="1330"/>
      <c r="BY4" s="1330"/>
      <c r="BZ4" s="1330"/>
      <c r="CA4" s="1330"/>
      <c r="CB4" s="1330"/>
      <c r="CC4" s="1330"/>
    </row>
    <row r="5" spans="1:84" s="1301" customFormat="1" ht="18.75" x14ac:dyDescent="0.3">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1529"/>
      <c r="AQ5" s="877"/>
      <c r="AR5" s="877"/>
      <c r="AS5" s="877"/>
      <c r="AT5" s="877"/>
      <c r="AU5" s="877"/>
      <c r="AV5" s="877"/>
      <c r="AW5" s="877"/>
      <c r="BB5" s="1530"/>
    </row>
    <row r="6" spans="1:84" s="876" customFormat="1" ht="18.75" x14ac:dyDescent="0.3">
      <c r="E6" s="876" t="s">
        <v>153</v>
      </c>
      <c r="AO6" s="1531"/>
      <c r="AP6" s="876" t="s">
        <v>154</v>
      </c>
      <c r="BB6" s="1532"/>
      <c r="CB6" s="1301"/>
    </row>
    <row r="7" spans="1:84" ht="18.75" x14ac:dyDescent="0.3">
      <c r="AO7" s="1533"/>
      <c r="BB7" s="1534"/>
      <c r="CB7" s="1301"/>
    </row>
    <row r="8" spans="1:84" s="880" customFormat="1" ht="12.75" customHeight="1" x14ac:dyDescent="0.3">
      <c r="C8" s="878"/>
      <c r="D8" s="774"/>
      <c r="E8" s="878" t="s">
        <v>26</v>
      </c>
      <c r="F8" s="878" t="s">
        <v>26</v>
      </c>
      <c r="G8" s="878" t="s">
        <v>26</v>
      </c>
      <c r="H8" s="878" t="s">
        <v>26</v>
      </c>
      <c r="I8" s="878" t="s">
        <v>26</v>
      </c>
      <c r="J8" s="878" t="s">
        <v>26</v>
      </c>
      <c r="K8" s="878" t="s">
        <v>26</v>
      </c>
      <c r="L8" s="434"/>
      <c r="M8" s="878" t="s">
        <v>155</v>
      </c>
      <c r="N8" s="878" t="s">
        <v>155</v>
      </c>
      <c r="O8" s="878" t="s">
        <v>155</v>
      </c>
      <c r="P8" s="878" t="s">
        <v>155</v>
      </c>
      <c r="Q8" s="878" t="s">
        <v>155</v>
      </c>
      <c r="R8" s="878" t="s">
        <v>155</v>
      </c>
      <c r="S8" s="878" t="s">
        <v>155</v>
      </c>
      <c r="T8" s="879"/>
      <c r="U8" s="1303" t="s">
        <v>156</v>
      </c>
      <c r="V8" s="1303" t="s">
        <v>156</v>
      </c>
      <c r="W8" s="1303" t="s">
        <v>156</v>
      </c>
      <c r="X8" s="878" t="s">
        <v>156</v>
      </c>
      <c r="Y8" s="878" t="s">
        <v>156</v>
      </c>
      <c r="Z8" s="878" t="s">
        <v>156</v>
      </c>
      <c r="AA8" s="878" t="s">
        <v>156</v>
      </c>
      <c r="AC8" s="881" t="str">
        <f>$E8</f>
        <v>IFRS</v>
      </c>
      <c r="AD8" s="881" t="str">
        <f t="shared" ref="AD8:AN8" si="0">$E8</f>
        <v>IFRS</v>
      </c>
      <c r="AE8" s="881" t="str">
        <f t="shared" si="0"/>
        <v>IFRS</v>
      </c>
      <c r="AF8" s="881" t="str">
        <f t="shared" si="0"/>
        <v>IFRS</v>
      </c>
      <c r="AG8" s="881" t="str">
        <f t="shared" si="0"/>
        <v>IFRS</v>
      </c>
      <c r="AH8" s="881" t="str">
        <f t="shared" si="0"/>
        <v>IFRS</v>
      </c>
      <c r="AI8" s="881" t="str">
        <f t="shared" si="0"/>
        <v>IFRS</v>
      </c>
      <c r="AJ8" s="881" t="str">
        <f t="shared" si="0"/>
        <v>IFRS</v>
      </c>
      <c r="AK8" s="881" t="str">
        <f t="shared" si="0"/>
        <v>IFRS</v>
      </c>
      <c r="AL8" s="881" t="str">
        <f t="shared" si="0"/>
        <v>IFRS</v>
      </c>
      <c r="AM8" s="881" t="str">
        <f t="shared" si="0"/>
        <v>IFRS</v>
      </c>
      <c r="AN8" s="881" t="str">
        <f t="shared" si="0"/>
        <v>IFRS</v>
      </c>
      <c r="AO8" s="1535"/>
      <c r="AP8" s="881" t="s">
        <v>155</v>
      </c>
      <c r="AQ8" s="881" t="s">
        <v>155</v>
      </c>
      <c r="AR8" s="881" t="s">
        <v>155</v>
      </c>
      <c r="AS8" s="881" t="s">
        <v>155</v>
      </c>
      <c r="AT8" s="881" t="s">
        <v>155</v>
      </c>
      <c r="AU8" s="881" t="s">
        <v>155</v>
      </c>
      <c r="AV8" s="881" t="s">
        <v>155</v>
      </c>
      <c r="AW8" s="881" t="s">
        <v>155</v>
      </c>
      <c r="AX8" s="881" t="s">
        <v>155</v>
      </c>
      <c r="AY8" s="881" t="s">
        <v>155</v>
      </c>
      <c r="AZ8" s="881" t="s">
        <v>155</v>
      </c>
      <c r="BA8" s="881" t="s">
        <v>155</v>
      </c>
      <c r="BB8" s="1536"/>
      <c r="BC8" s="881" t="str">
        <f t="shared" ref="BC8:BK8" si="1">AP8</f>
        <v>RAN</v>
      </c>
      <c r="BD8" s="881" t="str">
        <f t="shared" si="1"/>
        <v>RAN</v>
      </c>
      <c r="BE8" s="881" t="str">
        <f t="shared" si="1"/>
        <v>RAN</v>
      </c>
      <c r="BF8" s="881" t="str">
        <f t="shared" si="1"/>
        <v>RAN</v>
      </c>
      <c r="BG8" s="881" t="str">
        <f t="shared" si="1"/>
        <v>RAN</v>
      </c>
      <c r="BH8" s="881" t="str">
        <f t="shared" si="1"/>
        <v>RAN</v>
      </c>
      <c r="BI8" s="881" t="str">
        <f t="shared" si="1"/>
        <v>RAN</v>
      </c>
      <c r="BJ8" s="881" t="str">
        <f t="shared" si="1"/>
        <v>RAN</v>
      </c>
      <c r="BK8" s="881" t="str">
        <f t="shared" si="1"/>
        <v>RAN</v>
      </c>
      <c r="BL8" s="881" t="str">
        <f t="shared" ref="BL8:BN8" si="2">AY8</f>
        <v>RAN</v>
      </c>
      <c r="BM8" s="881" t="str">
        <f t="shared" si="2"/>
        <v>RAN</v>
      </c>
      <c r="BN8" s="881" t="str">
        <f t="shared" si="2"/>
        <v>RAN</v>
      </c>
      <c r="BP8" s="1548"/>
      <c r="BQ8" s="1548"/>
      <c r="BR8" s="1548"/>
      <c r="BS8" s="1548"/>
      <c r="BT8" s="1548"/>
      <c r="BU8" s="1548"/>
      <c r="BV8" s="1548"/>
      <c r="BW8" s="1548"/>
      <c r="BX8" s="1548"/>
      <c r="BY8" s="1548"/>
      <c r="BZ8" s="1548"/>
      <c r="CA8" s="1548"/>
      <c r="CB8" s="1301"/>
      <c r="CC8" s="1554" t="s">
        <v>155</v>
      </c>
      <c r="CD8" s="1548" t="s">
        <v>155</v>
      </c>
      <c r="CE8" s="1154" t="s">
        <v>155</v>
      </c>
      <c r="CF8" s="1154" t="s">
        <v>155</v>
      </c>
    </row>
    <row r="9" spans="1:84" s="880" customFormat="1" ht="12.75" customHeight="1" x14ac:dyDescent="0.3">
      <c r="C9" s="878"/>
      <c r="D9" s="774"/>
      <c r="E9" s="878" t="s">
        <v>157</v>
      </c>
      <c r="F9" s="878" t="s">
        <v>157</v>
      </c>
      <c r="G9" s="878" t="s">
        <v>157</v>
      </c>
      <c r="H9" s="878" t="s">
        <v>157</v>
      </c>
      <c r="I9" s="878" t="s">
        <v>157</v>
      </c>
      <c r="J9" s="878" t="s">
        <v>157</v>
      </c>
      <c r="K9" s="878" t="s">
        <v>157</v>
      </c>
      <c r="L9" s="434"/>
      <c r="M9" s="878" t="s">
        <v>157</v>
      </c>
      <c r="N9" s="878" t="s">
        <v>157</v>
      </c>
      <c r="O9" s="878" t="s">
        <v>157</v>
      </c>
      <c r="P9" s="878" t="s">
        <v>157</v>
      </c>
      <c r="Q9" s="878" t="s">
        <v>157</v>
      </c>
      <c r="R9" s="878" t="s">
        <v>157</v>
      </c>
      <c r="S9" s="878" t="s">
        <v>157</v>
      </c>
      <c r="T9" s="879"/>
      <c r="U9" s="1303"/>
      <c r="V9" s="1303"/>
      <c r="W9" s="1303"/>
      <c r="X9" s="878"/>
      <c r="Y9" s="878"/>
      <c r="Z9" s="878"/>
      <c r="AA9" s="878"/>
      <c r="AC9" s="881" t="s">
        <v>157</v>
      </c>
      <c r="AD9" s="881" t="s">
        <v>157</v>
      </c>
      <c r="AE9" s="881" t="s">
        <v>157</v>
      </c>
      <c r="AF9" s="881" t="s">
        <v>157</v>
      </c>
      <c r="AG9" s="881" t="s">
        <v>157</v>
      </c>
      <c r="AH9" s="881" t="s">
        <v>157</v>
      </c>
      <c r="AI9" s="881" t="s">
        <v>157</v>
      </c>
      <c r="AJ9" s="881" t="s">
        <v>157</v>
      </c>
      <c r="AK9" s="881" t="s">
        <v>157</v>
      </c>
      <c r="AL9" s="881" t="s">
        <v>157</v>
      </c>
      <c r="AM9" s="881" t="s">
        <v>157</v>
      </c>
      <c r="AN9" s="881" t="s">
        <v>157</v>
      </c>
      <c r="AO9" s="1535"/>
      <c r="AP9" s="1548" t="s">
        <v>157</v>
      </c>
      <c r="AQ9" s="1548" t="s">
        <v>157</v>
      </c>
      <c r="AR9" s="1548" t="s">
        <v>157</v>
      </c>
      <c r="AS9" s="1548" t="s">
        <v>157</v>
      </c>
      <c r="AT9" s="1548" t="s">
        <v>157</v>
      </c>
      <c r="AU9" s="1548" t="s">
        <v>157</v>
      </c>
      <c r="AV9" s="1548" t="s">
        <v>157</v>
      </c>
      <c r="AW9" s="1548" t="s">
        <v>157</v>
      </c>
      <c r="AX9" s="1548" t="s">
        <v>157</v>
      </c>
      <c r="AY9" s="1548" t="s">
        <v>157</v>
      </c>
      <c r="AZ9" s="1548" t="s">
        <v>157</v>
      </c>
      <c r="BA9" s="1548" t="s">
        <v>157</v>
      </c>
      <c r="BB9" s="1536"/>
      <c r="BC9" s="881"/>
      <c r="BD9" s="881"/>
      <c r="BE9" s="881"/>
      <c r="BF9" s="881"/>
      <c r="BG9" s="881"/>
      <c r="BH9" s="881"/>
      <c r="BI9" s="881"/>
      <c r="BJ9" s="881"/>
      <c r="BK9" s="881"/>
      <c r="BL9" s="881"/>
      <c r="BM9" s="881"/>
      <c r="BN9" s="881"/>
      <c r="BP9" s="1548"/>
      <c r="BQ9" s="1548"/>
      <c r="BR9" s="1548"/>
      <c r="BS9" s="1548"/>
      <c r="BT9" s="1548"/>
      <c r="BU9" s="1548"/>
      <c r="BV9" s="1548"/>
      <c r="BW9" s="1548"/>
      <c r="BX9" s="1548"/>
      <c r="BY9" s="1548"/>
      <c r="BZ9" s="1548"/>
      <c r="CA9" s="1548"/>
      <c r="CB9" s="1301"/>
      <c r="CC9" s="1554" t="s">
        <v>158</v>
      </c>
      <c r="CD9" s="1548" t="s">
        <v>158</v>
      </c>
      <c r="CE9" s="1154" t="s">
        <v>158</v>
      </c>
      <c r="CF9" s="1154" t="s">
        <v>158</v>
      </c>
    </row>
    <row r="10" spans="1:84" s="999" customFormat="1" ht="12.75" customHeight="1" x14ac:dyDescent="0.3">
      <c r="C10" s="995"/>
      <c r="D10" s="996"/>
      <c r="E10" s="995">
        <v>2312</v>
      </c>
      <c r="F10" s="995">
        <v>2412</v>
      </c>
      <c r="G10" s="995">
        <v>2512</v>
      </c>
      <c r="H10" s="995">
        <v>2603</v>
      </c>
      <c r="I10" s="995">
        <v>2606</v>
      </c>
      <c r="J10" s="995">
        <v>2609</v>
      </c>
      <c r="K10" s="995">
        <v>2612</v>
      </c>
      <c r="L10" s="997"/>
      <c r="M10" s="995">
        <f t="shared" ref="M10:P11" si="3">E10</f>
        <v>2312</v>
      </c>
      <c r="N10" s="995">
        <f t="shared" si="3"/>
        <v>2412</v>
      </c>
      <c r="O10" s="995">
        <f t="shared" si="3"/>
        <v>2512</v>
      </c>
      <c r="P10" s="995">
        <f t="shared" si="3"/>
        <v>2603</v>
      </c>
      <c r="Q10" s="995">
        <f t="shared" ref="Q10:S11" si="4">I10</f>
        <v>2606</v>
      </c>
      <c r="R10" s="995">
        <f t="shared" si="4"/>
        <v>2609</v>
      </c>
      <c r="S10" s="995">
        <f t="shared" si="4"/>
        <v>2612</v>
      </c>
      <c r="T10" s="998"/>
      <c r="U10" s="995">
        <f>M10</f>
        <v>2312</v>
      </c>
      <c r="V10" s="995">
        <f>N10</f>
        <v>2412</v>
      </c>
      <c r="W10" s="995">
        <f>O10</f>
        <v>2512</v>
      </c>
      <c r="X10" s="995">
        <f>P10</f>
        <v>2603</v>
      </c>
      <c r="Y10" s="995">
        <f t="shared" ref="Y10:AA10" si="5">Q10</f>
        <v>2606</v>
      </c>
      <c r="Z10" s="995">
        <f t="shared" si="5"/>
        <v>2609</v>
      </c>
      <c r="AA10" s="995">
        <f t="shared" si="5"/>
        <v>2612</v>
      </c>
      <c r="AC10" s="995">
        <f t="shared" ref="AC10:AC11" si="6">AP10</f>
        <v>2403</v>
      </c>
      <c r="AD10" s="995">
        <f t="shared" ref="AD10:AD11" si="7">AQ10</f>
        <v>2406</v>
      </c>
      <c r="AE10" s="995">
        <f t="shared" ref="AE10:AE11" si="8">AR10</f>
        <v>2409</v>
      </c>
      <c r="AF10" s="995">
        <f t="shared" ref="AF10:AF11" si="9">AS10</f>
        <v>2412</v>
      </c>
      <c r="AG10" s="995">
        <f t="shared" ref="AG10:AG11" si="10">AT10</f>
        <v>2503</v>
      </c>
      <c r="AH10" s="995">
        <f t="shared" ref="AH10:AH11" si="11">AU10</f>
        <v>2506</v>
      </c>
      <c r="AI10" s="995">
        <f t="shared" ref="AI10:AI11" si="12">AV10</f>
        <v>2509</v>
      </c>
      <c r="AJ10" s="995">
        <f t="shared" ref="AJ10:AJ11" si="13">AW10</f>
        <v>2512</v>
      </c>
      <c r="AK10" s="995">
        <f t="shared" ref="AK10:AK11" si="14">AX10</f>
        <v>2603</v>
      </c>
      <c r="AL10" s="995">
        <f t="shared" ref="AL10:AL11" si="15">AY10</f>
        <v>2606</v>
      </c>
      <c r="AM10" s="995">
        <f t="shared" ref="AM10:AM11" si="16">AZ10</f>
        <v>2609</v>
      </c>
      <c r="AN10" s="995">
        <f t="shared" ref="AN10:AN11" si="17">BA10</f>
        <v>2612</v>
      </c>
      <c r="AO10" s="1537"/>
      <c r="AP10" s="995">
        <v>2403</v>
      </c>
      <c r="AQ10" s="995">
        <f>AP10+3</f>
        <v>2406</v>
      </c>
      <c r="AR10" s="995">
        <f t="shared" ref="AR10:AW10" si="18">AQ10+3</f>
        <v>2409</v>
      </c>
      <c r="AS10" s="995">
        <f t="shared" si="18"/>
        <v>2412</v>
      </c>
      <c r="AT10" s="995">
        <v>2503</v>
      </c>
      <c r="AU10" s="995">
        <f t="shared" si="18"/>
        <v>2506</v>
      </c>
      <c r="AV10" s="995">
        <f t="shared" si="18"/>
        <v>2509</v>
      </c>
      <c r="AW10" s="995">
        <f t="shared" si="18"/>
        <v>2512</v>
      </c>
      <c r="AX10" s="995">
        <v>2603</v>
      </c>
      <c r="AY10" s="995">
        <v>2606</v>
      </c>
      <c r="AZ10" s="995">
        <v>2609</v>
      </c>
      <c r="BA10" s="995">
        <v>2612</v>
      </c>
      <c r="BB10" s="1538"/>
      <c r="BC10" s="995">
        <f t="shared" ref="BC10:BG11" si="19">AP10</f>
        <v>2403</v>
      </c>
      <c r="BD10" s="995">
        <f t="shared" si="19"/>
        <v>2406</v>
      </c>
      <c r="BE10" s="995">
        <f t="shared" si="19"/>
        <v>2409</v>
      </c>
      <c r="BF10" s="995">
        <f t="shared" si="19"/>
        <v>2412</v>
      </c>
      <c r="BG10" s="995">
        <f t="shared" si="19"/>
        <v>2503</v>
      </c>
      <c r="BH10" s="995">
        <f t="shared" ref="BH10:BK11" si="20">AU10</f>
        <v>2506</v>
      </c>
      <c r="BI10" s="995">
        <f t="shared" si="20"/>
        <v>2509</v>
      </c>
      <c r="BJ10" s="995">
        <f t="shared" si="20"/>
        <v>2512</v>
      </c>
      <c r="BK10" s="995">
        <f t="shared" si="20"/>
        <v>2603</v>
      </c>
      <c r="BL10" s="995">
        <f t="shared" ref="BL10:BN11" si="21">AY10</f>
        <v>2606</v>
      </c>
      <c r="BM10" s="995">
        <f t="shared" si="21"/>
        <v>2609</v>
      </c>
      <c r="BN10" s="995">
        <f t="shared" si="21"/>
        <v>2612</v>
      </c>
      <c r="BP10" s="1549">
        <f t="shared" ref="BP10:BY11" si="22">AP10</f>
        <v>2403</v>
      </c>
      <c r="BQ10" s="1549">
        <f t="shared" si="22"/>
        <v>2406</v>
      </c>
      <c r="BR10" s="1549">
        <f t="shared" si="22"/>
        <v>2409</v>
      </c>
      <c r="BS10" s="1549">
        <f t="shared" si="22"/>
        <v>2412</v>
      </c>
      <c r="BT10" s="1549">
        <f t="shared" si="22"/>
        <v>2503</v>
      </c>
      <c r="BU10" s="1549">
        <f t="shared" si="22"/>
        <v>2506</v>
      </c>
      <c r="BV10" s="1549">
        <f t="shared" si="22"/>
        <v>2509</v>
      </c>
      <c r="BW10" s="1549">
        <f t="shared" si="22"/>
        <v>2512</v>
      </c>
      <c r="BX10" s="1549">
        <f t="shared" si="22"/>
        <v>2603</v>
      </c>
      <c r="BY10" s="1549">
        <f t="shared" si="22"/>
        <v>2606</v>
      </c>
      <c r="BZ10" s="1549">
        <f t="shared" ref="BZ10:BZ11" si="23">AZ10</f>
        <v>2609</v>
      </c>
      <c r="CA10" s="1549">
        <f t="shared" ref="CA10:CA11" si="24">BA10</f>
        <v>2612</v>
      </c>
      <c r="CB10" s="1301"/>
      <c r="CC10" s="1555">
        <v>2312</v>
      </c>
      <c r="CD10" s="1549">
        <v>2412</v>
      </c>
      <c r="CE10" s="1155">
        <v>2512</v>
      </c>
      <c r="CF10" s="1155">
        <v>2603</v>
      </c>
    </row>
    <row r="11" spans="1:84" s="880" customFormat="1" ht="12.75" customHeight="1" x14ac:dyDescent="0.3">
      <c r="C11" s="881"/>
      <c r="D11" s="774"/>
      <c r="E11" s="1337" t="s">
        <v>159</v>
      </c>
      <c r="F11" s="1337" t="s">
        <v>159</v>
      </c>
      <c r="G11" s="1337" t="s">
        <v>159</v>
      </c>
      <c r="H11" s="1302" t="s">
        <v>160</v>
      </c>
      <c r="I11" s="1302" t="s">
        <v>160</v>
      </c>
      <c r="J11" s="1302" t="s">
        <v>160</v>
      </c>
      <c r="K11" s="1302" t="s">
        <v>160</v>
      </c>
      <c r="L11" s="434"/>
      <c r="M11" s="1337" t="str">
        <f t="shared" si="3"/>
        <v>YTD</v>
      </c>
      <c r="N11" s="1337" t="str">
        <f t="shared" si="3"/>
        <v>YTD</v>
      </c>
      <c r="O11" s="1337" t="str">
        <f t="shared" si="3"/>
        <v>YTD</v>
      </c>
      <c r="P11" s="1302" t="str">
        <f t="shared" si="3"/>
        <v>QTD</v>
      </c>
      <c r="Q11" s="1302" t="str">
        <f>I11</f>
        <v>QTD</v>
      </c>
      <c r="R11" s="1302" t="str">
        <f t="shared" si="4"/>
        <v>QTD</v>
      </c>
      <c r="S11" s="1302" t="str">
        <f t="shared" si="4"/>
        <v>QTD</v>
      </c>
      <c r="T11" s="879"/>
      <c r="U11" s="1337" t="str">
        <f>M11</f>
        <v>YTD</v>
      </c>
      <c r="V11" s="1337" t="str">
        <f>N11</f>
        <v>YTD</v>
      </c>
      <c r="W11" s="1337" t="str">
        <f>O11</f>
        <v>YTD</v>
      </c>
      <c r="X11" s="1302" t="s">
        <v>160</v>
      </c>
      <c r="Y11" s="1302" t="s">
        <v>160</v>
      </c>
      <c r="Z11" s="1302" t="s">
        <v>160</v>
      </c>
      <c r="AA11" s="1302" t="s">
        <v>160</v>
      </c>
      <c r="AC11" s="1302" t="str">
        <f t="shared" si="6"/>
        <v>QTD</v>
      </c>
      <c r="AD11" s="1302" t="str">
        <f t="shared" si="7"/>
        <v>QTD</v>
      </c>
      <c r="AE11" s="1302" t="str">
        <f t="shared" si="8"/>
        <v>QTD</v>
      </c>
      <c r="AF11" s="1302" t="str">
        <f t="shared" si="9"/>
        <v>QTD</v>
      </c>
      <c r="AG11" s="1302" t="str">
        <f t="shared" si="10"/>
        <v>QTD</v>
      </c>
      <c r="AH11" s="1302" t="str">
        <f t="shared" si="11"/>
        <v>QTD</v>
      </c>
      <c r="AI11" s="1302" t="str">
        <f t="shared" si="12"/>
        <v>QTD</v>
      </c>
      <c r="AJ11" s="1302" t="str">
        <f t="shared" si="13"/>
        <v>QTD</v>
      </c>
      <c r="AK11" s="1302" t="str">
        <f t="shared" si="14"/>
        <v>QTD</v>
      </c>
      <c r="AL11" s="1302" t="str">
        <f t="shared" si="15"/>
        <v>QTD</v>
      </c>
      <c r="AM11" s="1302" t="str">
        <f t="shared" si="16"/>
        <v>QTD</v>
      </c>
      <c r="AN11" s="1302" t="str">
        <f t="shared" si="17"/>
        <v>QTD</v>
      </c>
      <c r="AO11" s="1535"/>
      <c r="AP11" s="1302" t="s">
        <v>160</v>
      </c>
      <c r="AQ11" s="1302" t="s">
        <v>160</v>
      </c>
      <c r="AR11" s="1302" t="s">
        <v>160</v>
      </c>
      <c r="AS11" s="1302" t="s">
        <v>160</v>
      </c>
      <c r="AT11" s="1302" t="s">
        <v>160</v>
      </c>
      <c r="AU11" s="1302" t="s">
        <v>160</v>
      </c>
      <c r="AV11" s="1302" t="s">
        <v>160</v>
      </c>
      <c r="AW11" s="1302" t="s">
        <v>160</v>
      </c>
      <c r="AX11" s="1302" t="s">
        <v>160</v>
      </c>
      <c r="AY11" s="1302" t="s">
        <v>160</v>
      </c>
      <c r="AZ11" s="1302" t="s">
        <v>160</v>
      </c>
      <c r="BA11" s="1302" t="s">
        <v>160</v>
      </c>
      <c r="BB11" s="1536"/>
      <c r="BC11" s="1302" t="str">
        <f t="shared" si="19"/>
        <v>QTD</v>
      </c>
      <c r="BD11" s="1302" t="str">
        <f t="shared" si="19"/>
        <v>QTD</v>
      </c>
      <c r="BE11" s="1302" t="str">
        <f t="shared" si="19"/>
        <v>QTD</v>
      </c>
      <c r="BF11" s="1302" t="str">
        <f t="shared" si="19"/>
        <v>QTD</v>
      </c>
      <c r="BG11" s="1302" t="str">
        <f t="shared" si="19"/>
        <v>QTD</v>
      </c>
      <c r="BH11" s="1302" t="str">
        <f t="shared" si="20"/>
        <v>QTD</v>
      </c>
      <c r="BI11" s="1302" t="str">
        <f t="shared" si="20"/>
        <v>QTD</v>
      </c>
      <c r="BJ11" s="1302" t="str">
        <f t="shared" si="20"/>
        <v>QTD</v>
      </c>
      <c r="BK11" s="1302" t="str">
        <f t="shared" si="20"/>
        <v>QTD</v>
      </c>
      <c r="BL11" s="1302" t="str">
        <f t="shared" si="21"/>
        <v>QTD</v>
      </c>
      <c r="BM11" s="1302" t="str">
        <f t="shared" si="21"/>
        <v>QTD</v>
      </c>
      <c r="BN11" s="1302" t="str">
        <f t="shared" si="21"/>
        <v>QTD</v>
      </c>
      <c r="BP11" s="1550" t="str">
        <f t="shared" si="22"/>
        <v>QTD</v>
      </c>
      <c r="BQ11" s="1550" t="str">
        <f t="shared" si="22"/>
        <v>QTD</v>
      </c>
      <c r="BR11" s="1550" t="str">
        <f t="shared" si="22"/>
        <v>QTD</v>
      </c>
      <c r="BS11" s="1550" t="str">
        <f t="shared" si="22"/>
        <v>QTD</v>
      </c>
      <c r="BT11" s="1550" t="str">
        <f t="shared" si="22"/>
        <v>QTD</v>
      </c>
      <c r="BU11" s="1550" t="str">
        <f t="shared" si="22"/>
        <v>QTD</v>
      </c>
      <c r="BV11" s="1550" t="str">
        <f t="shared" si="22"/>
        <v>QTD</v>
      </c>
      <c r="BW11" s="1550" t="str">
        <f t="shared" si="22"/>
        <v>QTD</v>
      </c>
      <c r="BX11" s="1550" t="str">
        <f t="shared" si="22"/>
        <v>QTD</v>
      </c>
      <c r="BY11" s="1550" t="str">
        <f t="shared" si="22"/>
        <v>QTD</v>
      </c>
      <c r="BZ11" s="1550" t="str">
        <f t="shared" si="23"/>
        <v>QTD</v>
      </c>
      <c r="CA11" s="1550" t="str">
        <f t="shared" si="24"/>
        <v>QTD</v>
      </c>
      <c r="CB11" s="1301"/>
      <c r="CC11" s="1556" t="s">
        <v>159</v>
      </c>
      <c r="CD11" s="1550" t="s">
        <v>159</v>
      </c>
      <c r="CE11" s="1156" t="s">
        <v>159</v>
      </c>
      <c r="CF11" s="1157" t="s">
        <v>160</v>
      </c>
    </row>
    <row r="12" spans="1:84" s="448" customFormat="1" ht="12.75" customHeight="1" x14ac:dyDescent="0.3">
      <c r="A12" s="880"/>
      <c r="B12" s="880"/>
      <c r="C12" s="882" t="s">
        <v>161</v>
      </c>
      <c r="D12" s="774"/>
      <c r="E12" s="984">
        <v>-6.6</v>
      </c>
      <c r="F12" s="984">
        <v>-3.89</v>
      </c>
      <c r="G12" s="984">
        <v>0</v>
      </c>
      <c r="H12" s="984">
        <v>0</v>
      </c>
      <c r="I12" s="984">
        <v>0</v>
      </c>
      <c r="J12" s="984"/>
      <c r="K12" s="984"/>
      <c r="L12" s="985"/>
      <c r="M12" s="1160">
        <f>M36</f>
        <v>-6.6</v>
      </c>
      <c r="N12" s="1160">
        <f t="shared" ref="N12:O12" si="25">N36</f>
        <v>-3.89</v>
      </c>
      <c r="O12" s="1160">
        <f t="shared" si="25"/>
        <v>-3.9</v>
      </c>
      <c r="P12" s="1160">
        <f>P36</f>
        <v>-1</v>
      </c>
      <c r="Q12" s="1160">
        <f>Q36</f>
        <v>-1</v>
      </c>
      <c r="R12" s="1160">
        <f t="shared" ref="R12:S12" si="26">R36</f>
        <v>0</v>
      </c>
      <c r="S12" s="1160">
        <f t="shared" si="26"/>
        <v>0</v>
      </c>
      <c r="T12" s="986"/>
      <c r="U12" s="987">
        <f t="shared" ref="U12:X15" si="27">M12-E12</f>
        <v>0</v>
      </c>
      <c r="V12" s="987">
        <f t="shared" si="27"/>
        <v>0</v>
      </c>
      <c r="W12" s="987">
        <f t="shared" si="27"/>
        <v>-3.9</v>
      </c>
      <c r="X12" s="987">
        <f t="shared" si="27"/>
        <v>-1</v>
      </c>
      <c r="Y12" s="987">
        <f>Q12-I12</f>
        <v>-1</v>
      </c>
      <c r="Z12" s="987">
        <f t="shared" ref="Y12:AA15" si="28">R12-J12</f>
        <v>0</v>
      </c>
      <c r="AA12" s="987">
        <f t="shared" si="28"/>
        <v>0</v>
      </c>
      <c r="AB12" s="988"/>
      <c r="AC12" s="1540">
        <v>-1.6</v>
      </c>
      <c r="AD12" s="1540">
        <v>-1.4</v>
      </c>
      <c r="AE12" s="1540">
        <v>-0.89999999999999991</v>
      </c>
      <c r="AF12" s="1540">
        <v>0</v>
      </c>
      <c r="AG12" s="1540">
        <v>0</v>
      </c>
      <c r="AH12" s="1540">
        <v>0</v>
      </c>
      <c r="AI12" s="1540">
        <v>0</v>
      </c>
      <c r="AJ12" s="1540">
        <v>0</v>
      </c>
      <c r="AK12" s="1540">
        <v>0</v>
      </c>
      <c r="AL12" s="1540">
        <v>0</v>
      </c>
      <c r="AM12" s="1540"/>
      <c r="AN12" s="987"/>
      <c r="AO12" s="1539"/>
      <c r="AP12" s="1540">
        <f>$N12/4</f>
        <v>-0.97250000000000003</v>
      </c>
      <c r="AQ12" s="1540">
        <f t="shared" ref="AQ12:AS15" si="29">$N12/4</f>
        <v>-0.97250000000000003</v>
      </c>
      <c r="AR12" s="1540">
        <f t="shared" si="29"/>
        <v>-0.97250000000000003</v>
      </c>
      <c r="AS12" s="1540">
        <f t="shared" si="29"/>
        <v>-0.97250000000000003</v>
      </c>
      <c r="AT12" s="1540">
        <f>$O12/4</f>
        <v>-0.97499999999999998</v>
      </c>
      <c r="AU12" s="1540">
        <f>$O12/4</f>
        <v>-0.97499999999999998</v>
      </c>
      <c r="AV12" s="1540">
        <f t="shared" ref="AU12:AW15" si="30">$O12/4</f>
        <v>-0.97499999999999998</v>
      </c>
      <c r="AW12" s="1540">
        <f t="shared" si="30"/>
        <v>-0.97499999999999998</v>
      </c>
      <c r="AX12" s="1540">
        <f>$P12/1</f>
        <v>-1</v>
      </c>
      <c r="AY12" s="1540">
        <f>$Q12/1</f>
        <v>-1</v>
      </c>
      <c r="AZ12" s="1540">
        <f>$R12/1</f>
        <v>0</v>
      </c>
      <c r="BA12" s="1540">
        <f>$S12/1</f>
        <v>0</v>
      </c>
      <c r="BB12" s="1541"/>
      <c r="BC12" s="1002"/>
      <c r="BD12" s="1002"/>
      <c r="BE12" s="1002"/>
      <c r="BF12" s="1002"/>
      <c r="BG12" s="1002">
        <f>AT12/AP12-1</f>
        <v>2.5706940874035134E-3</v>
      </c>
      <c r="BH12" s="1002">
        <f t="shared" ref="BH12:BK16" si="31">AU12/AQ12-1</f>
        <v>2.5706940874035134E-3</v>
      </c>
      <c r="BI12" s="1002">
        <f t="shared" si="31"/>
        <v>2.5706940874035134E-3</v>
      </c>
      <c r="BJ12" s="1002">
        <f>AW12/AS12-1</f>
        <v>2.5706940874035134E-3</v>
      </c>
      <c r="BK12" s="1002">
        <f>AX12/AT12-1</f>
        <v>2.5641025641025772E-2</v>
      </c>
      <c r="BL12" s="1002">
        <f t="shared" ref="BL12:BL16" si="32">AY12/AU12-1</f>
        <v>2.5641025641025772E-2</v>
      </c>
      <c r="BM12" s="1002">
        <f>AZ12/AV12-1</f>
        <v>-1</v>
      </c>
      <c r="BN12" s="1002">
        <f t="shared" ref="BN12:BN16" si="33">BA12/AW12-1</f>
        <v>-1</v>
      </c>
      <c r="BP12" s="1551">
        <f t="shared" ref="BP12:BY15" si="34">AP12-AC12</f>
        <v>0.62750000000000006</v>
      </c>
      <c r="BQ12" s="1551">
        <f t="shared" si="34"/>
        <v>0.42749999999999988</v>
      </c>
      <c r="BR12" s="1551">
        <f t="shared" si="34"/>
        <v>-7.250000000000012E-2</v>
      </c>
      <c r="BS12" s="1551">
        <f t="shared" si="34"/>
        <v>-0.97250000000000003</v>
      </c>
      <c r="BT12" s="1551">
        <f t="shared" si="34"/>
        <v>-0.97499999999999998</v>
      </c>
      <c r="BU12" s="1551">
        <f t="shared" si="34"/>
        <v>-0.97499999999999998</v>
      </c>
      <c r="BV12" s="1551">
        <f t="shared" si="34"/>
        <v>-0.97499999999999998</v>
      </c>
      <c r="BW12" s="1551">
        <f t="shared" si="34"/>
        <v>-0.97499999999999998</v>
      </c>
      <c r="BX12" s="1551">
        <f t="shared" si="34"/>
        <v>-1</v>
      </c>
      <c r="BY12" s="1551">
        <f t="shared" si="34"/>
        <v>-1</v>
      </c>
      <c r="BZ12" s="1551">
        <f t="shared" ref="BZ12:BZ15" si="35">AZ12-AM12</f>
        <v>0</v>
      </c>
      <c r="CA12" s="1551">
        <f t="shared" ref="CA12:CA15" si="36">BA12-AN12</f>
        <v>0</v>
      </c>
      <c r="CB12" s="1301"/>
      <c r="CC12" s="1557">
        <v>-4.5999999999999996</v>
      </c>
      <c r="CD12" s="1551">
        <v>-3.89</v>
      </c>
      <c r="CE12" s="1158">
        <v>-3.9</v>
      </c>
      <c r="CF12" s="1152">
        <v>-1</v>
      </c>
    </row>
    <row r="13" spans="1:84" s="448" customFormat="1" ht="12.75" customHeight="1" x14ac:dyDescent="0.3">
      <c r="A13" s="880"/>
      <c r="B13" s="880"/>
      <c r="C13" s="882" t="s">
        <v>162</v>
      </c>
      <c r="D13" s="774"/>
      <c r="E13" s="984">
        <v>-6.5</v>
      </c>
      <c r="F13" s="984">
        <v>-6.7</v>
      </c>
      <c r="G13" s="984">
        <v>-6.7</v>
      </c>
      <c r="H13" s="984">
        <v>-1.857051</v>
      </c>
      <c r="I13" s="984">
        <v>-1.863</v>
      </c>
      <c r="J13" s="984"/>
      <c r="K13" s="984"/>
      <c r="L13" s="985"/>
      <c r="M13" s="1160">
        <f t="shared" ref="M13:M15" si="37">M37</f>
        <v>-13.100000000000001</v>
      </c>
      <c r="N13" s="1160">
        <f t="shared" ref="N13:P13" si="38">N37</f>
        <v>-14.100000000000001</v>
      </c>
      <c r="O13" s="1160">
        <f t="shared" si="38"/>
        <v>-14.100000000000001</v>
      </c>
      <c r="P13" s="1160">
        <f t="shared" si="38"/>
        <v>-3.6570510000000001</v>
      </c>
      <c r="Q13" s="1160">
        <f t="shared" ref="Q13:S13" si="39">Q37</f>
        <v>-3.863</v>
      </c>
      <c r="R13" s="1160">
        <f t="shared" si="39"/>
        <v>0</v>
      </c>
      <c r="S13" s="1160">
        <f t="shared" si="39"/>
        <v>0</v>
      </c>
      <c r="T13" s="986"/>
      <c r="U13" s="987">
        <f t="shared" si="27"/>
        <v>-6.6000000000000014</v>
      </c>
      <c r="V13" s="987">
        <f t="shared" si="27"/>
        <v>-7.4000000000000012</v>
      </c>
      <c r="W13" s="987">
        <f t="shared" si="27"/>
        <v>-7.4000000000000012</v>
      </c>
      <c r="X13" s="987">
        <f t="shared" si="27"/>
        <v>-1.8</v>
      </c>
      <c r="Y13" s="987">
        <f>Q13-I13</f>
        <v>-2</v>
      </c>
      <c r="Z13" s="987">
        <f t="shared" si="28"/>
        <v>0</v>
      </c>
      <c r="AA13" s="987">
        <f t="shared" si="28"/>
        <v>0</v>
      </c>
      <c r="AB13" s="988"/>
      <c r="AC13" s="1540">
        <v>-1.6</v>
      </c>
      <c r="AD13" s="1540">
        <v>-1.6999999999999997</v>
      </c>
      <c r="AE13" s="1540">
        <v>-1.7000000000000002</v>
      </c>
      <c r="AF13" s="1540">
        <v>-1.7000000000000002</v>
      </c>
      <c r="AG13" s="1540">
        <v>-1.7</v>
      </c>
      <c r="AH13" s="1540">
        <v>-1.5999999999999999</v>
      </c>
      <c r="AI13" s="1540">
        <v>-1.7000000000000002</v>
      </c>
      <c r="AJ13" s="1540">
        <v>-1.7000000000000002</v>
      </c>
      <c r="AK13" s="1540">
        <v>-1.8</v>
      </c>
      <c r="AL13" s="1540">
        <v>-1.9000000000000001</v>
      </c>
      <c r="AM13" s="1540"/>
      <c r="AN13" s="987"/>
      <c r="AO13" s="1539"/>
      <c r="AP13" s="1540">
        <f t="shared" ref="AP13:AP15" si="40">$N13/4</f>
        <v>-3.5250000000000004</v>
      </c>
      <c r="AQ13" s="1540">
        <f t="shared" si="29"/>
        <v>-3.5250000000000004</v>
      </c>
      <c r="AR13" s="1540">
        <f t="shared" si="29"/>
        <v>-3.5250000000000004</v>
      </c>
      <c r="AS13" s="1540">
        <f t="shared" si="29"/>
        <v>-3.5250000000000004</v>
      </c>
      <c r="AT13" s="1540">
        <f t="shared" ref="AT13:AT15" si="41">$O13/4</f>
        <v>-3.5250000000000004</v>
      </c>
      <c r="AU13" s="1540">
        <f t="shared" si="30"/>
        <v>-3.5250000000000004</v>
      </c>
      <c r="AV13" s="1540">
        <f t="shared" si="30"/>
        <v>-3.5250000000000004</v>
      </c>
      <c r="AW13" s="1540">
        <f t="shared" si="30"/>
        <v>-3.5250000000000004</v>
      </c>
      <c r="AX13" s="1540">
        <f t="shared" ref="AX13" si="42">$P13/1</f>
        <v>-3.6570510000000001</v>
      </c>
      <c r="AY13" s="1540">
        <f>$Q13/1</f>
        <v>-3.863</v>
      </c>
      <c r="AZ13" s="1540">
        <f>$R13/1</f>
        <v>0</v>
      </c>
      <c r="BA13" s="1540">
        <f>$S13/1</f>
        <v>0</v>
      </c>
      <c r="BB13" s="1541"/>
      <c r="BC13" s="1002"/>
      <c r="BD13" s="1002"/>
      <c r="BE13" s="1002"/>
      <c r="BF13" s="1002"/>
      <c r="BG13" s="1002">
        <f t="shared" ref="BG13:BG16" si="43">AT13/AP13-1</f>
        <v>0</v>
      </c>
      <c r="BH13" s="1002">
        <f t="shared" si="31"/>
        <v>0</v>
      </c>
      <c r="BI13" s="1002">
        <f t="shared" si="31"/>
        <v>0</v>
      </c>
      <c r="BJ13" s="1002">
        <f t="shared" si="31"/>
        <v>0</v>
      </c>
      <c r="BK13" s="1002">
        <f>AX13/AT13-1</f>
        <v>3.7461276595744497E-2</v>
      </c>
      <c r="BL13" s="1002">
        <f>AY13/AU13-1</f>
        <v>9.5886524822694996E-2</v>
      </c>
      <c r="BM13" s="1002">
        <f t="shared" ref="BM13:BM16" si="44">AZ13/AV13-1</f>
        <v>-1</v>
      </c>
      <c r="BN13" s="1002">
        <f t="shared" si="33"/>
        <v>-1</v>
      </c>
      <c r="BP13" s="1551">
        <f t="shared" si="34"/>
        <v>-1.9250000000000003</v>
      </c>
      <c r="BQ13" s="1551">
        <f t="shared" si="34"/>
        <v>-1.8250000000000006</v>
      </c>
      <c r="BR13" s="1551">
        <f t="shared" si="34"/>
        <v>-1.8250000000000002</v>
      </c>
      <c r="BS13" s="1551">
        <f t="shared" si="34"/>
        <v>-1.8250000000000002</v>
      </c>
      <c r="BT13" s="1551">
        <f t="shared" si="34"/>
        <v>-1.8250000000000004</v>
      </c>
      <c r="BU13" s="1551">
        <f t="shared" si="34"/>
        <v>-1.9250000000000005</v>
      </c>
      <c r="BV13" s="1551">
        <f t="shared" si="34"/>
        <v>-1.8250000000000002</v>
      </c>
      <c r="BW13" s="1551">
        <f t="shared" si="34"/>
        <v>-1.8250000000000002</v>
      </c>
      <c r="BX13" s="1551">
        <f t="shared" si="34"/>
        <v>-1.857051</v>
      </c>
      <c r="BY13" s="1551">
        <f t="shared" si="34"/>
        <v>-1.9629999999999999</v>
      </c>
      <c r="BZ13" s="1551">
        <f t="shared" si="35"/>
        <v>0</v>
      </c>
      <c r="CA13" s="1551">
        <f t="shared" si="36"/>
        <v>0</v>
      </c>
      <c r="CB13" s="1301"/>
      <c r="CC13" s="1558">
        <v>-27.0446063435298</v>
      </c>
      <c r="CD13" s="1551">
        <v>-14.3</v>
      </c>
      <c r="CE13" s="1152">
        <v>-14.3</v>
      </c>
      <c r="CF13" s="1152">
        <v>-3.7</v>
      </c>
    </row>
    <row r="14" spans="1:84" s="448" customFormat="1" ht="12.75" customHeight="1" x14ac:dyDescent="0.3">
      <c r="A14" s="880"/>
      <c r="B14" s="880"/>
      <c r="C14" s="882" t="s">
        <v>163</v>
      </c>
      <c r="D14" s="774"/>
      <c r="E14" s="984">
        <v>-68.2</v>
      </c>
      <c r="F14" s="984">
        <v>-67.3</v>
      </c>
      <c r="G14" s="984">
        <v>-68.7</v>
      </c>
      <c r="H14" s="984">
        <f>-16.578339</f>
        <v>-16.578339</v>
      </c>
      <c r="I14" s="984">
        <v>-16.36552</v>
      </c>
      <c r="J14" s="984"/>
      <c r="K14" s="984"/>
      <c r="L14" s="985"/>
      <c r="M14" s="1160">
        <f t="shared" si="37"/>
        <v>-158.6</v>
      </c>
      <c r="N14" s="1160">
        <f t="shared" ref="N14:P14" si="45">N38</f>
        <v>-153.29999999999998</v>
      </c>
      <c r="O14" s="1160">
        <f t="shared" si="45"/>
        <v>-154.69999999999999</v>
      </c>
      <c r="P14" s="1160">
        <f t="shared" si="45"/>
        <v>-38.078339</v>
      </c>
      <c r="Q14" s="1160">
        <f>Q38</f>
        <v>-38.565519999999999</v>
      </c>
      <c r="R14" s="1160">
        <f t="shared" ref="R14:S14" si="46">R38</f>
        <v>0</v>
      </c>
      <c r="S14" s="1160">
        <f t="shared" si="46"/>
        <v>0</v>
      </c>
      <c r="T14" s="986"/>
      <c r="U14" s="987">
        <f t="shared" si="27"/>
        <v>-90.399999999999991</v>
      </c>
      <c r="V14" s="987">
        <f t="shared" si="27"/>
        <v>-85.999999999999986</v>
      </c>
      <c r="W14" s="987">
        <f t="shared" si="27"/>
        <v>-85.999999999999986</v>
      </c>
      <c r="X14" s="987">
        <f t="shared" si="27"/>
        <v>-21.5</v>
      </c>
      <c r="Y14" s="987">
        <f>Q14-I14</f>
        <v>-22.2</v>
      </c>
      <c r="Z14" s="987">
        <f t="shared" si="28"/>
        <v>0</v>
      </c>
      <c r="AA14" s="987">
        <f t="shared" si="28"/>
        <v>0</v>
      </c>
      <c r="AB14" s="988"/>
      <c r="AC14" s="1540">
        <v>-16.3</v>
      </c>
      <c r="AD14" s="1540">
        <v>-16.900000000000002</v>
      </c>
      <c r="AE14" s="1540">
        <v>-17.099999999999994</v>
      </c>
      <c r="AF14" s="1540">
        <v>-17</v>
      </c>
      <c r="AG14" s="1540">
        <v>-16.899999999999999</v>
      </c>
      <c r="AH14" s="2060">
        <v>-17.899999999999999</v>
      </c>
      <c r="AI14" s="1540">
        <v>-17.200000000000003</v>
      </c>
      <c r="AJ14" s="1540">
        <v>-16.599999999999994</v>
      </c>
      <c r="AK14" s="1540">
        <v>-16.600000000000001</v>
      </c>
      <c r="AL14" s="2060">
        <v>-16.299999999999997</v>
      </c>
      <c r="AM14" s="1540"/>
      <c r="AN14" s="987"/>
      <c r="AO14" s="1539"/>
      <c r="AP14" s="1540">
        <f t="shared" si="40"/>
        <v>-38.324999999999996</v>
      </c>
      <c r="AQ14" s="1540">
        <f t="shared" si="29"/>
        <v>-38.324999999999996</v>
      </c>
      <c r="AR14" s="1540">
        <f t="shared" si="29"/>
        <v>-38.324999999999996</v>
      </c>
      <c r="AS14" s="1540">
        <f>$N14/4</f>
        <v>-38.324999999999996</v>
      </c>
      <c r="AT14" s="1540">
        <f>$O14/4</f>
        <v>-38.674999999999997</v>
      </c>
      <c r="AU14" s="1540">
        <f t="shared" si="30"/>
        <v>-38.674999999999997</v>
      </c>
      <c r="AV14" s="1540">
        <f t="shared" si="30"/>
        <v>-38.674999999999997</v>
      </c>
      <c r="AW14" s="1540">
        <f t="shared" si="30"/>
        <v>-38.674999999999997</v>
      </c>
      <c r="AX14" s="1540">
        <f>$P14/1</f>
        <v>-38.078339</v>
      </c>
      <c r="AY14" s="1540">
        <f>$Q14/1</f>
        <v>-38.565519999999999</v>
      </c>
      <c r="AZ14" s="1540">
        <f>$R14/1</f>
        <v>0</v>
      </c>
      <c r="BA14" s="1540">
        <f>$S14/1</f>
        <v>0</v>
      </c>
      <c r="BB14" s="1541"/>
      <c r="BC14" s="1002"/>
      <c r="BD14" s="1002"/>
      <c r="BE14" s="1002"/>
      <c r="BF14" s="1002"/>
      <c r="BG14" s="1002">
        <f t="shared" si="43"/>
        <v>9.1324200913243114E-3</v>
      </c>
      <c r="BH14" s="1002">
        <f t="shared" si="31"/>
        <v>9.1324200913243114E-3</v>
      </c>
      <c r="BI14" s="1002">
        <f t="shared" si="31"/>
        <v>9.1324200913243114E-3</v>
      </c>
      <c r="BJ14" s="1002">
        <f t="shared" si="31"/>
        <v>9.1324200913243114E-3</v>
      </c>
      <c r="BK14" s="1002">
        <f>AX14/AT14-1</f>
        <v>-1.5427563025209978E-2</v>
      </c>
      <c r="BL14" s="1002">
        <f t="shared" si="32"/>
        <v>-2.8307692307691923E-3</v>
      </c>
      <c r="BM14" s="1002">
        <f t="shared" si="44"/>
        <v>-1</v>
      </c>
      <c r="BN14" s="1002">
        <f t="shared" si="33"/>
        <v>-1</v>
      </c>
      <c r="BP14" s="1551">
        <f t="shared" si="34"/>
        <v>-22.024999999999995</v>
      </c>
      <c r="BQ14" s="1551">
        <f t="shared" si="34"/>
        <v>-21.424999999999994</v>
      </c>
      <c r="BR14" s="1551">
        <f t="shared" si="34"/>
        <v>-21.225000000000001</v>
      </c>
      <c r="BS14" s="1551">
        <f t="shared" si="34"/>
        <v>-21.324999999999996</v>
      </c>
      <c r="BT14" s="1551">
        <f t="shared" si="34"/>
        <v>-21.774999999999999</v>
      </c>
      <c r="BU14" s="1551">
        <f t="shared" si="34"/>
        <v>-20.774999999999999</v>
      </c>
      <c r="BV14" s="1551">
        <f t="shared" si="34"/>
        <v>-21.474999999999994</v>
      </c>
      <c r="BW14" s="1551">
        <f t="shared" si="34"/>
        <v>-22.075000000000003</v>
      </c>
      <c r="BX14" s="1551">
        <f t="shared" si="34"/>
        <v>-21.478338999999998</v>
      </c>
      <c r="BY14" s="1551">
        <f t="shared" si="34"/>
        <v>-22.265520000000002</v>
      </c>
      <c r="BZ14" s="1551">
        <f t="shared" si="35"/>
        <v>0</v>
      </c>
      <c r="CA14" s="1551">
        <f t="shared" si="36"/>
        <v>0</v>
      </c>
      <c r="CB14" s="1301"/>
      <c r="CC14" s="1558">
        <v>-144.39003117026758</v>
      </c>
      <c r="CD14" s="1551">
        <v>-153.1</v>
      </c>
      <c r="CE14" s="1152">
        <v>-154.5</v>
      </c>
      <c r="CF14" s="1152">
        <v>-40.4</v>
      </c>
    </row>
    <row r="15" spans="1:84" s="448" customFormat="1" ht="12.75" customHeight="1" x14ac:dyDescent="0.3">
      <c r="A15" s="880"/>
      <c r="B15" s="880"/>
      <c r="C15" s="883" t="s">
        <v>164</v>
      </c>
      <c r="D15" s="774"/>
      <c r="E15" s="989">
        <v>-9.6999999999999993</v>
      </c>
      <c r="F15" s="989">
        <v>-13.5</v>
      </c>
      <c r="G15" s="989">
        <v>-13.4</v>
      </c>
      <c r="H15" s="989">
        <v>-3.5652520000000001</v>
      </c>
      <c r="I15" s="989">
        <v>-3.498624</v>
      </c>
      <c r="J15" s="989"/>
      <c r="K15" s="989"/>
      <c r="L15" s="985"/>
      <c r="M15" s="1169">
        <f t="shared" si="37"/>
        <v>-9.6999999999999993</v>
      </c>
      <c r="N15" s="1169">
        <f t="shared" ref="N15:O15" si="47">N39</f>
        <v>-13.5</v>
      </c>
      <c r="O15" s="1169">
        <f t="shared" si="47"/>
        <v>-13.4</v>
      </c>
      <c r="P15" s="1169">
        <f>P39</f>
        <v>-3.5652520000000001</v>
      </c>
      <c r="Q15" s="1169">
        <f>Q39</f>
        <v>-3.498624</v>
      </c>
      <c r="R15" s="1169">
        <f t="shared" ref="R15:S15" si="48">R39</f>
        <v>0</v>
      </c>
      <c r="S15" s="1169">
        <f t="shared" si="48"/>
        <v>0</v>
      </c>
      <c r="T15" s="986"/>
      <c r="U15" s="990">
        <f t="shared" si="27"/>
        <v>0</v>
      </c>
      <c r="V15" s="990">
        <f t="shared" si="27"/>
        <v>0</v>
      </c>
      <c r="W15" s="990">
        <f t="shared" si="27"/>
        <v>0</v>
      </c>
      <c r="X15" s="990">
        <f t="shared" si="27"/>
        <v>0</v>
      </c>
      <c r="Y15" s="990">
        <f t="shared" si="28"/>
        <v>0</v>
      </c>
      <c r="Z15" s="990">
        <f t="shared" si="28"/>
        <v>0</v>
      </c>
      <c r="AA15" s="990">
        <f t="shared" si="28"/>
        <v>0</v>
      </c>
      <c r="AB15" s="988"/>
      <c r="AC15" s="990">
        <v>-3.4</v>
      </c>
      <c r="AD15" s="990">
        <v>-3.5000000000000004</v>
      </c>
      <c r="AE15" s="990">
        <v>-3.2999999999999989</v>
      </c>
      <c r="AF15" s="990">
        <v>-3.3000000000000007</v>
      </c>
      <c r="AG15" s="990">
        <v>-3.3</v>
      </c>
      <c r="AH15" s="990">
        <v>-3.3</v>
      </c>
      <c r="AI15" s="990">
        <v>-3.3000000000000007</v>
      </c>
      <c r="AJ15" s="990">
        <v>-3.5</v>
      </c>
      <c r="AK15" s="990">
        <v>-3.6</v>
      </c>
      <c r="AL15" s="990">
        <v>-3.4999999999999996</v>
      </c>
      <c r="AM15" s="990"/>
      <c r="AN15" s="990"/>
      <c r="AO15" s="1539"/>
      <c r="AP15" s="990">
        <f t="shared" si="40"/>
        <v>-3.375</v>
      </c>
      <c r="AQ15" s="990">
        <f t="shared" si="29"/>
        <v>-3.375</v>
      </c>
      <c r="AR15" s="990">
        <f t="shared" si="29"/>
        <v>-3.375</v>
      </c>
      <c r="AS15" s="990">
        <f t="shared" si="29"/>
        <v>-3.375</v>
      </c>
      <c r="AT15" s="990">
        <f t="shared" si="41"/>
        <v>-3.35</v>
      </c>
      <c r="AU15" s="990">
        <f t="shared" si="30"/>
        <v>-3.35</v>
      </c>
      <c r="AV15" s="990">
        <f t="shared" si="30"/>
        <v>-3.35</v>
      </c>
      <c r="AW15" s="990">
        <f t="shared" si="30"/>
        <v>-3.35</v>
      </c>
      <c r="AX15" s="990">
        <f>$P15/1</f>
        <v>-3.5652520000000001</v>
      </c>
      <c r="AY15" s="990">
        <f>$Q15/1</f>
        <v>-3.498624</v>
      </c>
      <c r="AZ15" s="990">
        <f>$R15/1</f>
        <v>0</v>
      </c>
      <c r="BA15" s="990">
        <f>$S15/1</f>
        <v>0</v>
      </c>
      <c r="BB15" s="1541"/>
      <c r="BC15" s="1003"/>
      <c r="BD15" s="1003"/>
      <c r="BE15" s="1003"/>
      <c r="BF15" s="1003"/>
      <c r="BG15" s="1003">
        <f t="shared" si="43"/>
        <v>-7.4074074074074181E-3</v>
      </c>
      <c r="BH15" s="1003">
        <f t="shared" si="31"/>
        <v>-7.4074074074074181E-3</v>
      </c>
      <c r="BI15" s="1003">
        <f t="shared" si="31"/>
        <v>-7.4074074074074181E-3</v>
      </c>
      <c r="BJ15" s="1003">
        <f t="shared" si="31"/>
        <v>-7.4074074074074181E-3</v>
      </c>
      <c r="BK15" s="1003">
        <f t="shared" si="31"/>
        <v>6.4254328358208879E-2</v>
      </c>
      <c r="BL15" s="1003">
        <f t="shared" si="32"/>
        <v>4.4365373134328312E-2</v>
      </c>
      <c r="BM15" s="1003">
        <f t="shared" si="44"/>
        <v>-1</v>
      </c>
      <c r="BN15" s="1003">
        <f t="shared" si="33"/>
        <v>-1</v>
      </c>
      <c r="BP15" s="1552">
        <f t="shared" si="34"/>
        <v>2.4999999999999911E-2</v>
      </c>
      <c r="BQ15" s="1552">
        <f t="shared" si="34"/>
        <v>0.12500000000000044</v>
      </c>
      <c r="BR15" s="1552">
        <f t="shared" si="34"/>
        <v>-7.5000000000001066E-2</v>
      </c>
      <c r="BS15" s="1552">
        <f t="shared" si="34"/>
        <v>-7.4999999999999289E-2</v>
      </c>
      <c r="BT15" s="1552">
        <f t="shared" si="34"/>
        <v>-5.0000000000000266E-2</v>
      </c>
      <c r="BU15" s="1552">
        <f t="shared" si="34"/>
        <v>-5.0000000000000266E-2</v>
      </c>
      <c r="BV15" s="1552">
        <f t="shared" si="34"/>
        <v>-4.9999999999999378E-2</v>
      </c>
      <c r="BW15" s="1552">
        <f t="shared" si="34"/>
        <v>0.14999999999999991</v>
      </c>
      <c r="BX15" s="1552">
        <f t="shared" si="34"/>
        <v>3.4748000000000001E-2</v>
      </c>
      <c r="BY15" s="1552">
        <f t="shared" si="34"/>
        <v>1.3759999999995998E-3</v>
      </c>
      <c r="BZ15" s="1552">
        <f t="shared" si="35"/>
        <v>0</v>
      </c>
      <c r="CA15" s="1552">
        <f t="shared" si="36"/>
        <v>0</v>
      </c>
      <c r="CB15" s="1301"/>
      <c r="CC15" s="1559">
        <v>-9.6999999999999993</v>
      </c>
      <c r="CD15" s="1552">
        <v>-13.5</v>
      </c>
      <c r="CE15" s="1153">
        <v>-13.4</v>
      </c>
      <c r="CF15" s="1153">
        <v>-3.4</v>
      </c>
    </row>
    <row r="16" spans="1:84" s="448" customFormat="1" ht="12.75" customHeight="1" x14ac:dyDescent="0.3">
      <c r="A16" s="880"/>
      <c r="B16" s="880"/>
      <c r="C16" s="884" t="s">
        <v>165</v>
      </c>
      <c r="D16" s="774"/>
      <c r="E16" s="991">
        <f>SUM(E12:E15)</f>
        <v>-91</v>
      </c>
      <c r="F16" s="991">
        <f t="shared" ref="F16:G16" si="49">SUM(F12:F15)</f>
        <v>-91.39</v>
      </c>
      <c r="G16" s="991">
        <f t="shared" si="49"/>
        <v>-88.800000000000011</v>
      </c>
      <c r="H16" s="991">
        <f>SUM(H12:H15)</f>
        <v>-22.000641999999999</v>
      </c>
      <c r="I16" s="991">
        <f>SUM(I12:I15)</f>
        <v>-21.727143999999999</v>
      </c>
      <c r="J16" s="991"/>
      <c r="K16" s="991"/>
      <c r="L16" s="992"/>
      <c r="M16" s="1162">
        <f>SUM(M12:M15)</f>
        <v>-188</v>
      </c>
      <c r="N16" s="1162">
        <f t="shared" ref="N16:O16" si="50">SUM(N12:N15)</f>
        <v>-184.79</v>
      </c>
      <c r="O16" s="1162">
        <f t="shared" si="50"/>
        <v>-186.1</v>
      </c>
      <c r="P16" s="1162">
        <f>SUM(P12:P15)</f>
        <v>-46.300642000000003</v>
      </c>
      <c r="Q16" s="1162">
        <f t="shared" ref="Q16:S16" si="51">SUM(Q12:Q15)</f>
        <v>-46.927143999999998</v>
      </c>
      <c r="R16" s="1162">
        <f t="shared" si="51"/>
        <v>0</v>
      </c>
      <c r="S16" s="1162">
        <f t="shared" si="51"/>
        <v>0</v>
      </c>
      <c r="T16" s="986"/>
      <c r="U16" s="991">
        <f>SUM(U12:U15)</f>
        <v>-97</v>
      </c>
      <c r="V16" s="991">
        <f t="shared" ref="V16" si="52">SUM(V12:V15)</f>
        <v>-93.399999999999991</v>
      </c>
      <c r="W16" s="991">
        <f>SUM(W12:W15)</f>
        <v>-97.299999999999983</v>
      </c>
      <c r="X16" s="991">
        <f>SUM(X12:X15)</f>
        <v>-24.3</v>
      </c>
      <c r="Y16" s="991">
        <f t="shared" ref="Y16:AA16" si="53">SUM(Y12:Y15)</f>
        <v>-25.2</v>
      </c>
      <c r="Z16" s="991">
        <f t="shared" si="53"/>
        <v>0</v>
      </c>
      <c r="AA16" s="991">
        <f t="shared" si="53"/>
        <v>0</v>
      </c>
      <c r="AB16" s="988"/>
      <c r="AC16" s="1542">
        <f>SUM(AC12:AC15)</f>
        <v>-22.9</v>
      </c>
      <c r="AD16" s="1542">
        <f t="shared" ref="AD16:AL16" si="54">SUM(AD12:AD15)</f>
        <v>-23.5</v>
      </c>
      <c r="AE16" s="1542">
        <f t="shared" si="54"/>
        <v>-22.999999999999993</v>
      </c>
      <c r="AF16" s="1542">
        <f t="shared" si="54"/>
        <v>-22</v>
      </c>
      <c r="AG16" s="1542">
        <f t="shared" si="54"/>
        <v>-21.9</v>
      </c>
      <c r="AH16" s="2061">
        <f t="shared" si="54"/>
        <v>-22.8</v>
      </c>
      <c r="AI16" s="1542">
        <f t="shared" si="54"/>
        <v>-22.200000000000003</v>
      </c>
      <c r="AJ16" s="1542">
        <f t="shared" si="54"/>
        <v>-21.799999999999994</v>
      </c>
      <c r="AK16" s="1542">
        <f t="shared" si="54"/>
        <v>-22.000000000000004</v>
      </c>
      <c r="AL16" s="2061">
        <f t="shared" si="54"/>
        <v>-21.699999999999996</v>
      </c>
      <c r="AM16" s="1542"/>
      <c r="AN16" s="991"/>
      <c r="AO16" s="1539"/>
      <c r="AP16" s="1542">
        <f>SUM(AP12:AP15)</f>
        <v>-46.197499999999998</v>
      </c>
      <c r="AQ16" s="1542">
        <f>SUM(AQ12:AQ15)</f>
        <v>-46.197499999999998</v>
      </c>
      <c r="AR16" s="1542">
        <f>SUM(AR12:AR15)</f>
        <v>-46.197499999999998</v>
      </c>
      <c r="AS16" s="1542">
        <f>SUM(AS12:AS15)</f>
        <v>-46.197499999999998</v>
      </c>
      <c r="AT16" s="1542">
        <f t="shared" ref="AT16:BA16" si="55">SUM(AT12:AT15)</f>
        <v>-46.524999999999999</v>
      </c>
      <c r="AU16" s="1542">
        <f t="shared" si="55"/>
        <v>-46.524999999999999</v>
      </c>
      <c r="AV16" s="1542">
        <f t="shared" si="55"/>
        <v>-46.524999999999999</v>
      </c>
      <c r="AW16" s="1542">
        <f t="shared" si="55"/>
        <v>-46.524999999999999</v>
      </c>
      <c r="AX16" s="1542">
        <f t="shared" si="55"/>
        <v>-46.300642000000003</v>
      </c>
      <c r="AY16" s="1542">
        <f t="shared" si="55"/>
        <v>-46.927143999999998</v>
      </c>
      <c r="AZ16" s="1542">
        <f t="shared" si="55"/>
        <v>0</v>
      </c>
      <c r="BA16" s="1542">
        <f t="shared" si="55"/>
        <v>0</v>
      </c>
      <c r="BB16" s="1541"/>
      <c r="BC16" s="1004"/>
      <c r="BD16" s="1004"/>
      <c r="BE16" s="1004"/>
      <c r="BF16" s="1004"/>
      <c r="BG16" s="1004">
        <f t="shared" si="43"/>
        <v>7.0891281995779654E-3</v>
      </c>
      <c r="BH16" s="1004">
        <f t="shared" si="31"/>
        <v>7.0891281995779654E-3</v>
      </c>
      <c r="BI16" s="1004">
        <f t="shared" si="31"/>
        <v>7.0891281995779654E-3</v>
      </c>
      <c r="BJ16" s="1004">
        <f t="shared" si="31"/>
        <v>7.0891281995779654E-3</v>
      </c>
      <c r="BK16" s="1004">
        <f t="shared" si="31"/>
        <v>-4.8223105857064796E-3</v>
      </c>
      <c r="BL16" s="1004">
        <f t="shared" si="32"/>
        <v>8.6436109618484025E-3</v>
      </c>
      <c r="BM16" s="1004">
        <f t="shared" si="44"/>
        <v>-1</v>
      </c>
      <c r="BN16" s="1004">
        <f t="shared" si="33"/>
        <v>-1</v>
      </c>
      <c r="BP16" s="1542">
        <f t="shared" ref="BP16" si="56">SUM(BP12:BP15)</f>
        <v>-23.297499999999996</v>
      </c>
      <c r="BQ16" s="1542">
        <f t="shared" ref="BQ16" si="57">SUM(BQ12:BQ15)</f>
        <v>-22.697499999999994</v>
      </c>
      <c r="BR16" s="1542">
        <f t="shared" ref="BR16" si="58">SUM(BR12:BR15)</f>
        <v>-23.197500000000005</v>
      </c>
      <c r="BS16" s="1542">
        <f t="shared" ref="BS16" si="59">SUM(BS12:BS15)</f>
        <v>-24.197499999999994</v>
      </c>
      <c r="BT16" s="1542">
        <f t="shared" ref="BT16" si="60">SUM(BT12:BT15)</f>
        <v>-24.625</v>
      </c>
      <c r="BU16" s="1542">
        <f t="shared" ref="BU16" si="61">SUM(BU12:BU15)</f>
        <v>-23.724999999999998</v>
      </c>
      <c r="BV16" s="1542">
        <f t="shared" ref="BV16" si="62">SUM(BV12:BV15)</f>
        <v>-24.324999999999996</v>
      </c>
      <c r="BW16" s="1542">
        <f t="shared" ref="BW16" si="63">SUM(BW12:BW15)</f>
        <v>-24.725000000000005</v>
      </c>
      <c r="BX16" s="1542">
        <f t="shared" ref="BX16" si="64">SUM(BX12:BX15)</f>
        <v>-24.300641999999996</v>
      </c>
      <c r="BY16" s="1542">
        <f t="shared" ref="BY16" si="65">SUM(BY12:BY15)</f>
        <v>-25.227144000000003</v>
      </c>
      <c r="BZ16" s="1542">
        <f t="shared" ref="BZ16" si="66">SUM(BZ12:BZ15)</f>
        <v>0</v>
      </c>
      <c r="CA16" s="1542">
        <f t="shared" ref="CA16" si="67">SUM(CA12:CA15)</f>
        <v>0</v>
      </c>
      <c r="CB16" s="1301"/>
      <c r="CC16" s="1553">
        <v>-185.73463751379737</v>
      </c>
      <c r="CD16" s="1553">
        <v>-184.79</v>
      </c>
      <c r="CE16" s="991">
        <v>-186.1</v>
      </c>
      <c r="CF16" s="991">
        <v>-48.5</v>
      </c>
    </row>
    <row r="17" spans="1:80" s="448" customFormat="1" ht="12.75" customHeight="1" x14ac:dyDescent="0.3">
      <c r="C17" s="433"/>
      <c r="D17" s="774"/>
      <c r="E17" s="993"/>
      <c r="F17" s="993"/>
      <c r="G17" s="993"/>
      <c r="H17" s="993"/>
      <c r="I17" s="993"/>
      <c r="J17" s="993"/>
      <c r="K17" s="993"/>
      <c r="L17" s="993"/>
      <c r="M17" s="993"/>
      <c r="N17" s="993"/>
      <c r="O17" s="993"/>
      <c r="P17" s="993"/>
      <c r="Q17" s="993"/>
      <c r="R17" s="993"/>
      <c r="S17" s="993"/>
      <c r="T17" s="993"/>
      <c r="U17" s="993"/>
      <c r="V17" s="993"/>
      <c r="W17" s="993"/>
      <c r="X17" s="993"/>
      <c r="Y17" s="993"/>
      <c r="Z17" s="993"/>
      <c r="AA17" s="993"/>
      <c r="AB17" s="988"/>
      <c r="AC17" s="988"/>
      <c r="AD17" s="988"/>
      <c r="AE17" s="988"/>
      <c r="AF17" s="988"/>
      <c r="AG17" s="988"/>
      <c r="AH17" s="988"/>
      <c r="AI17" s="988"/>
      <c r="AJ17" s="988"/>
      <c r="AK17" s="988">
        <f t="shared" ref="AK17:AN17" si="68">$H17/1</f>
        <v>0</v>
      </c>
      <c r="AL17" s="988">
        <f t="shared" si="68"/>
        <v>0</v>
      </c>
      <c r="AM17" s="988">
        <f t="shared" si="68"/>
        <v>0</v>
      </c>
      <c r="AN17" s="988">
        <f t="shared" si="68"/>
        <v>0</v>
      </c>
      <c r="AO17" s="1539"/>
      <c r="AP17" s="1543"/>
      <c r="AQ17" s="1543"/>
      <c r="AR17" s="1543"/>
      <c r="AS17" s="1543"/>
      <c r="AT17" s="1543"/>
      <c r="AU17" s="1543"/>
      <c r="AV17" s="1543"/>
      <c r="AW17" s="1543"/>
      <c r="BB17" s="1541"/>
      <c r="CB17" s="1301"/>
    </row>
    <row r="18" spans="1:80" s="448" customFormat="1" ht="12.75" customHeight="1" x14ac:dyDescent="0.3">
      <c r="A18" s="449" t="s">
        <v>166</v>
      </c>
      <c r="B18" s="1334" t="s">
        <v>167</v>
      </c>
      <c r="C18" s="1334" t="s">
        <v>168</v>
      </c>
      <c r="D18" s="774"/>
      <c r="E18" s="1160"/>
      <c r="F18" s="1160"/>
      <c r="G18" s="1160"/>
      <c r="H18" s="1160"/>
      <c r="I18" s="1160"/>
      <c r="J18" s="1160"/>
      <c r="K18" s="1160"/>
      <c r="L18" s="993"/>
      <c r="M18" s="1332">
        <f t="shared" ref="M18:Q22" si="69">E12</f>
        <v>-6.6</v>
      </c>
      <c r="N18" s="1332">
        <f t="shared" si="69"/>
        <v>-3.89</v>
      </c>
      <c r="O18" s="1332">
        <f t="shared" si="69"/>
        <v>0</v>
      </c>
      <c r="P18" s="1332">
        <f>H12</f>
        <v>0</v>
      </c>
      <c r="Q18" s="1332">
        <f>I12</f>
        <v>0</v>
      </c>
      <c r="R18" s="993"/>
      <c r="S18" s="993"/>
      <c r="T18" s="993"/>
      <c r="U18" s="993"/>
      <c r="V18" s="993"/>
      <c r="W18" s="993"/>
      <c r="X18" s="993"/>
      <c r="Y18" s="993"/>
      <c r="Z18" s="993"/>
      <c r="AA18" s="993"/>
      <c r="AB18" s="988"/>
      <c r="AC18" s="988"/>
      <c r="AD18" s="988"/>
      <c r="AE18" s="988"/>
      <c r="AF18" s="988"/>
      <c r="AG18" s="988"/>
      <c r="AH18" s="988"/>
      <c r="AI18" s="988"/>
      <c r="AJ18" s="988"/>
      <c r="AK18" s="988"/>
      <c r="AL18" s="988"/>
      <c r="AM18" s="988"/>
      <c r="AN18" s="988"/>
      <c r="AO18" s="1539"/>
      <c r="AP18" s="1543"/>
      <c r="AQ18" s="1543"/>
      <c r="AR18" s="1543"/>
      <c r="AS18" s="1543"/>
      <c r="AT18" s="1543"/>
      <c r="AU18" s="1543"/>
      <c r="AV18" s="1543"/>
      <c r="AW18" s="1543"/>
      <c r="BB18" s="1541"/>
      <c r="CB18" s="1301"/>
    </row>
    <row r="19" spans="1:80" s="448" customFormat="1" ht="12.75" customHeight="1" x14ac:dyDescent="0.3">
      <c r="A19" s="449" t="s">
        <v>166</v>
      </c>
      <c r="B19" s="1334" t="s">
        <v>167</v>
      </c>
      <c r="C19" s="1334" t="s">
        <v>169</v>
      </c>
      <c r="D19" s="774"/>
      <c r="E19" s="1160"/>
      <c r="F19" s="1160"/>
      <c r="G19" s="1160"/>
      <c r="H19" s="1160"/>
      <c r="I19" s="1160"/>
      <c r="J19" s="1160"/>
      <c r="K19" s="1160"/>
      <c r="L19" s="993"/>
      <c r="M19" s="1332">
        <f t="shared" si="69"/>
        <v>-6.5</v>
      </c>
      <c r="N19" s="1332">
        <f t="shared" si="69"/>
        <v>-6.7</v>
      </c>
      <c r="O19" s="1332">
        <f t="shared" si="69"/>
        <v>-6.7</v>
      </c>
      <c r="P19" s="1332">
        <f t="shared" si="69"/>
        <v>-1.857051</v>
      </c>
      <c r="Q19" s="1332">
        <f>I13</f>
        <v>-1.863</v>
      </c>
      <c r="R19" s="993"/>
      <c r="S19" s="993"/>
      <c r="T19" s="993"/>
      <c r="U19" s="993"/>
      <c r="V19" s="993"/>
      <c r="W19" s="993"/>
      <c r="X19" s="993"/>
      <c r="Y19" s="993"/>
      <c r="Z19" s="993"/>
      <c r="AA19" s="993"/>
      <c r="AB19" s="988"/>
      <c r="AC19" s="988"/>
      <c r="AD19" s="988"/>
      <c r="AE19" s="988"/>
      <c r="AF19" s="988"/>
      <c r="AG19" s="988"/>
      <c r="AH19" s="988"/>
      <c r="AI19" s="988"/>
      <c r="AJ19" s="988"/>
      <c r="AK19" s="988"/>
      <c r="AL19" s="988"/>
      <c r="AM19" s="988"/>
      <c r="AN19" s="988"/>
      <c r="AO19" s="1539"/>
      <c r="AP19" s="1543"/>
      <c r="AQ19" s="1543"/>
      <c r="AR19" s="1543"/>
      <c r="AS19" s="1543"/>
      <c r="AT19" s="1543"/>
      <c r="AU19" s="1543"/>
      <c r="AV19" s="1543"/>
      <c r="AW19" s="1543"/>
      <c r="BB19" s="1541"/>
      <c r="CB19" s="1301"/>
    </row>
    <row r="20" spans="1:80" s="448" customFormat="1" ht="12.75" customHeight="1" x14ac:dyDescent="0.25">
      <c r="A20" s="449" t="s">
        <v>166</v>
      </c>
      <c r="B20" s="1334" t="s">
        <v>167</v>
      </c>
      <c r="C20" s="1334" t="s">
        <v>170</v>
      </c>
      <c r="D20" s="1159"/>
      <c r="E20" s="1160"/>
      <c r="F20" s="1160"/>
      <c r="G20" s="1160"/>
      <c r="H20" s="1160"/>
      <c r="I20" s="1160"/>
      <c r="J20" s="1160"/>
      <c r="K20" s="1160"/>
      <c r="L20" s="993"/>
      <c r="M20" s="1332">
        <f t="shared" si="69"/>
        <v>-68.2</v>
      </c>
      <c r="N20" s="1332">
        <f t="shared" si="69"/>
        <v>-67.3</v>
      </c>
      <c r="O20" s="1332">
        <f t="shared" si="69"/>
        <v>-68.7</v>
      </c>
      <c r="P20" s="1332">
        <f t="shared" si="69"/>
        <v>-16.578339</v>
      </c>
      <c r="Q20" s="1332">
        <f>I14</f>
        <v>-16.36552</v>
      </c>
      <c r="R20" s="993"/>
      <c r="S20" s="993"/>
      <c r="T20" s="993"/>
      <c r="U20" s="993"/>
      <c r="V20" s="993"/>
      <c r="W20" s="993"/>
      <c r="X20" s="993"/>
      <c r="Y20" s="993"/>
      <c r="Z20" s="993"/>
      <c r="AA20" s="993"/>
      <c r="AB20" s="988"/>
      <c r="AC20" s="988"/>
      <c r="AD20" s="2169" t="s">
        <v>885</v>
      </c>
      <c r="AE20" s="2169"/>
      <c r="AF20" s="2169"/>
      <c r="AG20" s="2169"/>
      <c r="AH20" s="2172" t="s">
        <v>886</v>
      </c>
      <c r="AI20" s="2172" t="s">
        <v>887</v>
      </c>
      <c r="AJ20" s="2172" t="s">
        <v>888</v>
      </c>
      <c r="AK20" s="2173" t="s">
        <v>889</v>
      </c>
      <c r="AL20" s="988"/>
      <c r="AM20" s="988"/>
      <c r="AN20" s="988"/>
      <c r="AO20" s="1539"/>
      <c r="AP20" s="1543"/>
      <c r="AQ20" s="1543"/>
      <c r="AR20" s="1543"/>
      <c r="AS20" s="1543"/>
      <c r="AT20" s="1543"/>
      <c r="AU20" s="1543"/>
      <c r="AV20" s="1543"/>
      <c r="AW20" s="1543"/>
      <c r="BB20" s="1541"/>
    </row>
    <row r="21" spans="1:80" s="448" customFormat="1" ht="12.75" customHeight="1" thickBot="1" x14ac:dyDescent="0.3">
      <c r="A21" s="449" t="s">
        <v>166</v>
      </c>
      <c r="B21" s="1335" t="s">
        <v>167</v>
      </c>
      <c r="C21" s="1335" t="s">
        <v>171</v>
      </c>
      <c r="D21" s="774"/>
      <c r="E21" s="1161"/>
      <c r="F21" s="1161"/>
      <c r="G21" s="1161"/>
      <c r="H21" s="1161"/>
      <c r="I21" s="1161"/>
      <c r="J21" s="1161"/>
      <c r="K21" s="1161"/>
      <c r="L21" s="993"/>
      <c r="M21" s="1161">
        <f t="shared" si="69"/>
        <v>-9.6999999999999993</v>
      </c>
      <c r="N21" s="1161">
        <f t="shared" si="69"/>
        <v>-13.5</v>
      </c>
      <c r="O21" s="1161">
        <f t="shared" si="69"/>
        <v>-13.4</v>
      </c>
      <c r="P21" s="1161">
        <f t="shared" si="69"/>
        <v>-3.5652520000000001</v>
      </c>
      <c r="Q21" s="1161">
        <f t="shared" si="69"/>
        <v>-3.498624</v>
      </c>
      <c r="R21" s="993"/>
      <c r="S21" s="993"/>
      <c r="T21" s="993"/>
      <c r="U21" s="993"/>
      <c r="V21" s="993"/>
      <c r="W21" s="993"/>
      <c r="X21" s="993"/>
      <c r="Y21" s="993"/>
      <c r="Z21" s="993"/>
      <c r="AA21" s="993"/>
      <c r="AB21" s="988"/>
      <c r="AC21" s="988"/>
      <c r="AD21" s="988" t="str">
        <f>C19</f>
        <v>Byggnader och Mark</v>
      </c>
      <c r="AE21" s="988"/>
      <c r="AF21" s="988"/>
      <c r="AG21" s="988"/>
      <c r="AH21" s="2176">
        <f>SUM(AG13:AH13)</f>
        <v>-3.3</v>
      </c>
      <c r="AI21" s="2176">
        <f>SUM(AK13:AL13)</f>
        <v>-3.7</v>
      </c>
      <c r="AJ21" s="2180">
        <f>(AI21/AH21)-1</f>
        <v>0.12121212121212133</v>
      </c>
      <c r="AK21" s="2176">
        <f>AI21-AH21</f>
        <v>-0.40000000000000036</v>
      </c>
      <c r="AL21" s="988"/>
      <c r="AM21" s="988"/>
      <c r="AN21" s="988"/>
      <c r="AO21" s="1544"/>
      <c r="AP21" s="1545"/>
      <c r="AQ21" s="1545"/>
      <c r="AR21" s="1545"/>
      <c r="AS21" s="1545"/>
      <c r="AT21" s="1545"/>
      <c r="AU21" s="1545"/>
      <c r="AV21" s="1545"/>
      <c r="AW21" s="1545"/>
      <c r="AX21" s="1546"/>
      <c r="AY21" s="1546"/>
      <c r="AZ21" s="1546"/>
      <c r="BA21" s="1546"/>
      <c r="BB21" s="1547"/>
    </row>
    <row r="22" spans="1:80" s="448" customFormat="1" ht="12.75" customHeight="1" x14ac:dyDescent="0.25">
      <c r="A22" s="449" t="s">
        <v>166</v>
      </c>
      <c r="B22" s="1336" t="s">
        <v>167</v>
      </c>
      <c r="C22" s="1336" t="s">
        <v>172</v>
      </c>
      <c r="D22" s="774"/>
      <c r="E22" s="1162"/>
      <c r="F22" s="1162"/>
      <c r="G22" s="1162"/>
      <c r="H22" s="1162"/>
      <c r="I22" s="1162"/>
      <c r="J22" s="1162"/>
      <c r="K22" s="1162"/>
      <c r="L22" s="993"/>
      <c r="M22" s="1333">
        <f t="shared" si="69"/>
        <v>-91</v>
      </c>
      <c r="N22" s="1333">
        <f t="shared" si="69"/>
        <v>-91.39</v>
      </c>
      <c r="O22" s="1333">
        <f t="shared" si="69"/>
        <v>-88.800000000000011</v>
      </c>
      <c r="P22" s="1333">
        <f t="shared" si="69"/>
        <v>-22.000641999999999</v>
      </c>
      <c r="Q22" s="1333">
        <f t="shared" si="69"/>
        <v>-21.727143999999999</v>
      </c>
      <c r="R22" s="993"/>
      <c r="S22" s="993"/>
      <c r="T22" s="993"/>
      <c r="U22" s="993"/>
      <c r="V22" s="993"/>
      <c r="W22" s="993"/>
      <c r="X22" s="993"/>
      <c r="Y22" s="993"/>
      <c r="Z22" s="993"/>
      <c r="AA22" s="993"/>
      <c r="AB22" s="988"/>
      <c r="AC22" s="988"/>
      <c r="AD22" s="988" t="str">
        <f>C20</f>
        <v>Maskiner och inventarier</v>
      </c>
      <c r="AE22" s="988"/>
      <c r="AF22" s="988"/>
      <c r="AG22" s="988"/>
      <c r="AH22" s="2176">
        <f>SUM(AG14:AH14)</f>
        <v>-34.799999999999997</v>
      </c>
      <c r="AI22" s="2176">
        <f>SUM(AK14:AL14)</f>
        <v>-32.9</v>
      </c>
      <c r="AJ22" s="2180">
        <f>(AI22/AH22)-1</f>
        <v>-5.4597701149425304E-2</v>
      </c>
      <c r="AK22" s="2176">
        <f>AI22-AH22</f>
        <v>1.8999999999999986</v>
      </c>
      <c r="AL22" s="988"/>
      <c r="AM22" s="988"/>
      <c r="AN22" s="988"/>
      <c r="AO22" s="988"/>
      <c r="AP22" s="988"/>
      <c r="AQ22" s="988"/>
      <c r="AR22" s="988"/>
      <c r="AS22" s="988"/>
      <c r="AT22" s="988"/>
      <c r="AU22" s="988"/>
      <c r="AV22" s="988"/>
      <c r="AW22" s="988"/>
    </row>
    <row r="23" spans="1:80" s="448" customFormat="1" ht="12.75" customHeight="1" x14ac:dyDescent="0.25">
      <c r="C23" s="433"/>
      <c r="D23" s="774"/>
      <c r="E23" s="993"/>
      <c r="F23" s="993"/>
      <c r="G23" s="993"/>
      <c r="H23" s="1005"/>
      <c r="I23" s="1005"/>
      <c r="J23" s="1005"/>
      <c r="K23" s="1005"/>
      <c r="L23" s="993"/>
      <c r="M23" s="993"/>
      <c r="N23" s="993"/>
      <c r="O23" s="993"/>
      <c r="P23" s="993"/>
      <c r="Q23" s="993"/>
      <c r="R23" s="993"/>
      <c r="S23" s="993"/>
      <c r="T23" s="993"/>
      <c r="U23" s="993"/>
      <c r="V23" s="993"/>
      <c r="W23" s="993"/>
      <c r="X23" s="993"/>
      <c r="Y23" s="993"/>
      <c r="Z23" s="993"/>
      <c r="AA23" s="993"/>
      <c r="AB23" s="988"/>
      <c r="AC23" s="988"/>
      <c r="AD23" s="2170" t="str">
        <f>C21</f>
        <v>Nyttjanderättstillgångar</v>
      </c>
      <c r="AE23" s="2170"/>
      <c r="AF23" s="2170"/>
      <c r="AG23" s="2170"/>
      <c r="AH23" s="2177">
        <f>SUM(AG15:AH15)</f>
        <v>-6.6</v>
      </c>
      <c r="AI23" s="2177">
        <f>SUM(AK15:AL15)</f>
        <v>-7.1</v>
      </c>
      <c r="AJ23" s="2181">
        <f>(AI23/AH23)-1</f>
        <v>7.575757575757569E-2</v>
      </c>
      <c r="AK23" s="2178">
        <f>AI23-AH23</f>
        <v>-0.5</v>
      </c>
      <c r="AL23" s="988"/>
      <c r="AM23" s="988"/>
      <c r="AN23" s="988"/>
      <c r="AO23" s="988"/>
      <c r="AP23" s="988"/>
      <c r="AQ23" s="988"/>
      <c r="AR23" s="988"/>
      <c r="AS23" s="988"/>
      <c r="AT23" s="988"/>
      <c r="AU23" s="988"/>
      <c r="AV23" s="988"/>
      <c r="AW23" s="988"/>
    </row>
    <row r="24" spans="1:80" s="448" customFormat="1" ht="12.75" customHeight="1" x14ac:dyDescent="0.25">
      <c r="A24" s="449" t="s">
        <v>173</v>
      </c>
      <c r="B24" s="882" t="s">
        <v>174</v>
      </c>
      <c r="C24" s="882" t="str">
        <f>C18</f>
        <v>IT-System</v>
      </c>
      <c r="D24" s="774"/>
      <c r="E24" s="987"/>
      <c r="F24" s="987"/>
      <c r="G24" s="987"/>
      <c r="H24" s="987"/>
      <c r="I24" s="987"/>
      <c r="J24" s="987"/>
      <c r="K24" s="987"/>
      <c r="L24" s="993"/>
      <c r="M24" s="984">
        <v>0</v>
      </c>
      <c r="N24" s="984">
        <v>0</v>
      </c>
      <c r="O24" s="984">
        <v>-3.9</v>
      </c>
      <c r="P24" s="984">
        <v>-1</v>
      </c>
      <c r="Q24" s="984">
        <v>-1</v>
      </c>
      <c r="R24" s="1566" t="s">
        <v>781</v>
      </c>
      <c r="S24" s="993"/>
      <c r="T24" s="993"/>
      <c r="U24" s="993"/>
      <c r="V24" s="993"/>
      <c r="W24" s="993"/>
      <c r="X24" s="993"/>
      <c r="Y24" s="993"/>
      <c r="Z24" s="993"/>
      <c r="AA24" s="993"/>
      <c r="AB24" s="988"/>
      <c r="AC24" s="988"/>
      <c r="AD24" s="2168" t="s">
        <v>695</v>
      </c>
      <c r="AE24" s="988"/>
      <c r="AF24" s="988"/>
      <c r="AG24" s="988"/>
      <c r="AH24" s="2193">
        <f>SUM(AH21:AH23)</f>
        <v>-44.699999999999996</v>
      </c>
      <c r="AI24" s="2193">
        <f>SUM(AI21:AI23)</f>
        <v>-43.7</v>
      </c>
      <c r="AJ24" s="2171">
        <f>(AI24/AH24)-1</f>
        <v>-2.2371364653243742E-2</v>
      </c>
      <c r="AK24" s="2183">
        <f>AI24-AH24</f>
        <v>0.99999999999999289</v>
      </c>
      <c r="AL24" s="988"/>
      <c r="AM24" s="988"/>
      <c r="AN24" s="988"/>
      <c r="AO24" s="988"/>
      <c r="AP24" s="988"/>
      <c r="AQ24" s="988"/>
      <c r="AR24" s="988"/>
      <c r="AS24" s="988"/>
      <c r="AT24" s="988"/>
      <c r="AU24" s="988"/>
      <c r="AV24" s="988"/>
      <c r="AW24" s="988"/>
    </row>
    <row r="25" spans="1:80" s="448" customFormat="1" ht="12.75" customHeight="1" x14ac:dyDescent="0.25">
      <c r="A25" s="449" t="s">
        <v>173</v>
      </c>
      <c r="B25" s="882" t="s">
        <v>174</v>
      </c>
      <c r="C25" s="882" t="str">
        <f t="shared" ref="C25:C28" si="70">C19</f>
        <v>Byggnader och Mark</v>
      </c>
      <c r="D25" s="774"/>
      <c r="E25" s="987"/>
      <c r="F25" s="987"/>
      <c r="G25" s="987"/>
      <c r="H25" s="987"/>
      <c r="I25" s="987"/>
      <c r="J25" s="987"/>
      <c r="K25" s="987"/>
      <c r="L25" s="993"/>
      <c r="M25" s="984">
        <v>-20.8</v>
      </c>
      <c r="N25" s="984">
        <v>-21.6</v>
      </c>
      <c r="O25" s="984">
        <f>-7.4-14.2</f>
        <v>-21.6</v>
      </c>
      <c r="P25" s="984">
        <f>-1.8-4.2</f>
        <v>-6</v>
      </c>
      <c r="Q25" s="984">
        <v>-2</v>
      </c>
      <c r="R25" s="1566" t="s">
        <v>781</v>
      </c>
      <c r="S25" s="993"/>
      <c r="T25" s="993"/>
      <c r="U25" s="993"/>
      <c r="V25" s="993"/>
      <c r="W25" s="993"/>
      <c r="X25" s="993"/>
      <c r="Y25" s="993"/>
      <c r="Z25" s="993"/>
      <c r="AA25" s="993"/>
      <c r="AB25" s="988"/>
      <c r="AC25" s="988"/>
      <c r="AD25" s="988"/>
      <c r="AE25" s="988"/>
      <c r="AF25" s="988"/>
      <c r="AG25" s="988"/>
      <c r="AH25" s="988"/>
      <c r="AI25" s="988"/>
      <c r="AJ25" s="988"/>
      <c r="AK25" s="988"/>
      <c r="AL25" s="988"/>
      <c r="AM25" s="988"/>
      <c r="AN25" s="988"/>
      <c r="AO25" s="988"/>
      <c r="AP25" s="988"/>
      <c r="AQ25" s="988"/>
      <c r="AR25" s="988"/>
      <c r="AS25" s="988"/>
      <c r="AT25" s="988"/>
      <c r="AU25" s="988"/>
      <c r="AV25" s="988"/>
      <c r="AW25" s="988"/>
    </row>
    <row r="26" spans="1:80" s="448" customFormat="1" ht="12.75" customHeight="1" x14ac:dyDescent="0.25">
      <c r="A26" s="449" t="s">
        <v>173</v>
      </c>
      <c r="B26" s="882" t="s">
        <v>174</v>
      </c>
      <c r="C26" s="882" t="str">
        <f t="shared" si="70"/>
        <v>Maskiner och inventarier</v>
      </c>
      <c r="D26" s="1159"/>
      <c r="E26" s="987"/>
      <c r="F26" s="987"/>
      <c r="G26" s="987"/>
      <c r="H26" s="987"/>
      <c r="I26" s="987"/>
      <c r="J26" s="987"/>
      <c r="K26" s="987"/>
      <c r="L26" s="993"/>
      <c r="M26" s="984">
        <v>-76.2</v>
      </c>
      <c r="N26" s="984">
        <v>-71.8</v>
      </c>
      <c r="O26" s="984">
        <f>-86+14.2</f>
        <v>-71.8</v>
      </c>
      <c r="P26" s="984">
        <f>-21.5+4.2</f>
        <v>-17.3</v>
      </c>
      <c r="Q26" s="984">
        <v>-22.2</v>
      </c>
      <c r="R26" s="1566" t="s">
        <v>781</v>
      </c>
      <c r="S26" s="993"/>
      <c r="T26" s="993"/>
      <c r="U26" s="993"/>
      <c r="V26" s="993"/>
      <c r="W26" s="993"/>
      <c r="X26" s="993"/>
      <c r="Y26" s="993"/>
      <c r="Z26" s="993"/>
      <c r="AA26" s="993"/>
      <c r="AB26" s="988"/>
      <c r="AC26" s="988"/>
      <c r="AD26" s="2477" t="s">
        <v>890</v>
      </c>
      <c r="AE26" s="2477"/>
      <c r="AF26" s="2477"/>
      <c r="AG26" s="2477"/>
      <c r="AH26" s="2477"/>
      <c r="AI26" s="2477"/>
      <c r="AJ26" s="2477"/>
      <c r="AK26" s="2477"/>
      <c r="AL26" s="988"/>
      <c r="AM26" s="988"/>
      <c r="AN26" s="988"/>
      <c r="AO26" s="988"/>
      <c r="AP26" s="988"/>
      <c r="AQ26" s="988"/>
      <c r="AR26" s="988"/>
      <c r="AS26" s="988"/>
      <c r="AT26" s="988"/>
      <c r="AU26" s="988"/>
      <c r="AV26" s="988"/>
      <c r="AW26" s="988"/>
    </row>
    <row r="27" spans="1:80" s="448" customFormat="1" ht="12.75" customHeight="1" x14ac:dyDescent="0.25">
      <c r="A27" s="449" t="s">
        <v>173</v>
      </c>
      <c r="B27" s="883" t="s">
        <v>174</v>
      </c>
      <c r="C27" s="883" t="str">
        <f t="shared" si="70"/>
        <v>Nyttjanderättstillgångar</v>
      </c>
      <c r="D27" s="774"/>
      <c r="E27" s="989"/>
      <c r="F27" s="989"/>
      <c r="G27" s="989"/>
      <c r="H27" s="989"/>
      <c r="I27" s="989"/>
      <c r="J27" s="989"/>
      <c r="K27" s="989"/>
      <c r="L27" s="993"/>
      <c r="M27" s="989">
        <v>0</v>
      </c>
      <c r="N27" s="989">
        <v>0</v>
      </c>
      <c r="O27" s="989">
        <v>0</v>
      </c>
      <c r="P27" s="989">
        <v>0</v>
      </c>
      <c r="Q27" s="989">
        <v>0</v>
      </c>
      <c r="R27" s="993"/>
      <c r="S27" s="993"/>
      <c r="T27" s="993"/>
      <c r="U27" s="993"/>
      <c r="V27" s="993"/>
      <c r="W27" s="993"/>
      <c r="X27" s="993"/>
      <c r="Y27" s="993"/>
      <c r="Z27" s="993"/>
      <c r="AA27" s="993"/>
      <c r="AB27" s="988"/>
      <c r="AC27" s="988"/>
      <c r="AD27" s="2477"/>
      <c r="AE27" s="2477"/>
      <c r="AF27" s="2477"/>
      <c r="AG27" s="2477"/>
      <c r="AH27" s="2477"/>
      <c r="AI27" s="2477"/>
      <c r="AJ27" s="2477"/>
      <c r="AK27" s="2477"/>
      <c r="AL27" s="988"/>
      <c r="AM27" s="988"/>
      <c r="AN27" s="988"/>
      <c r="AO27" s="988"/>
      <c r="AP27" s="988"/>
      <c r="AQ27" s="988"/>
      <c r="AR27" s="988"/>
      <c r="AS27" s="988"/>
      <c r="AT27" s="988"/>
      <c r="AU27" s="988"/>
      <c r="AV27" s="988"/>
      <c r="AW27" s="988"/>
    </row>
    <row r="28" spans="1:80" s="448" customFormat="1" ht="12.75" customHeight="1" x14ac:dyDescent="0.25">
      <c r="A28" s="449" t="s">
        <v>173</v>
      </c>
      <c r="B28" s="884" t="s">
        <v>174</v>
      </c>
      <c r="C28" s="884" t="str">
        <f t="shared" si="70"/>
        <v xml:space="preserve">Totala avskrivningar </v>
      </c>
      <c r="D28" s="774"/>
      <c r="E28" s="991"/>
      <c r="F28" s="991"/>
      <c r="G28" s="991"/>
      <c r="H28" s="991"/>
      <c r="I28" s="991"/>
      <c r="J28" s="991"/>
      <c r="K28" s="991"/>
      <c r="L28" s="993"/>
      <c r="M28" s="991">
        <f>SUM(M24:M27)</f>
        <v>-97</v>
      </c>
      <c r="N28" s="991">
        <f t="shared" ref="N28:P28" si="71">SUM(N24:N27)</f>
        <v>-93.4</v>
      </c>
      <c r="O28" s="991">
        <f t="shared" si="71"/>
        <v>-97.3</v>
      </c>
      <c r="P28" s="991">
        <f t="shared" si="71"/>
        <v>-24.3</v>
      </c>
      <c r="Q28" s="991">
        <f>SUM(Q24:Q27)</f>
        <v>-25.2</v>
      </c>
      <c r="R28" s="993"/>
      <c r="S28" s="993"/>
      <c r="T28" s="993"/>
      <c r="U28" s="993"/>
      <c r="V28" s="993"/>
      <c r="W28" s="993"/>
      <c r="X28" s="993"/>
      <c r="Y28" s="993"/>
      <c r="Z28" s="993"/>
      <c r="AA28" s="993"/>
      <c r="AB28" s="988"/>
      <c r="AC28" s="988"/>
      <c r="AD28" s="2477"/>
      <c r="AE28" s="2477"/>
      <c r="AF28" s="2477"/>
      <c r="AG28" s="2477"/>
      <c r="AH28" s="2477"/>
      <c r="AI28" s="2477"/>
      <c r="AJ28" s="2477"/>
      <c r="AK28" s="2477"/>
      <c r="AL28" s="988"/>
      <c r="AM28" s="988"/>
      <c r="AN28" s="988"/>
      <c r="AO28" s="988"/>
      <c r="AP28" s="988"/>
      <c r="AQ28" s="988"/>
      <c r="AR28" s="988"/>
      <c r="AS28" s="988"/>
      <c r="AT28" s="988"/>
      <c r="AU28" s="988"/>
      <c r="AV28" s="988"/>
      <c r="AW28" s="988"/>
    </row>
    <row r="29" spans="1:80" s="448" customFormat="1" ht="12.75" customHeight="1" x14ac:dyDescent="0.25">
      <c r="C29" s="433"/>
      <c r="D29" s="774"/>
      <c r="E29" s="993"/>
      <c r="F29" s="993"/>
      <c r="G29" s="993"/>
      <c r="H29" s="1005"/>
      <c r="I29" s="1005"/>
      <c r="J29" s="1005"/>
      <c r="K29" s="1005"/>
      <c r="L29" s="993"/>
      <c r="M29" s="993"/>
      <c r="N29" s="993"/>
      <c r="O29" s="993"/>
      <c r="P29" s="993"/>
      <c r="Q29" s="993"/>
      <c r="R29" s="993"/>
      <c r="S29" s="993"/>
      <c r="T29" s="993"/>
      <c r="U29" s="993"/>
      <c r="V29" s="993"/>
      <c r="W29" s="993"/>
      <c r="X29" s="993"/>
      <c r="Y29" s="993"/>
      <c r="Z29" s="993"/>
      <c r="AA29" s="993"/>
      <c r="AB29" s="988"/>
      <c r="AC29" s="988"/>
      <c r="AD29" s="2477"/>
      <c r="AE29" s="2477"/>
      <c r="AF29" s="2477"/>
      <c r="AG29" s="2477"/>
      <c r="AH29" s="2477"/>
      <c r="AI29" s="2477"/>
      <c r="AJ29" s="2477"/>
      <c r="AK29" s="2477"/>
      <c r="AL29" s="988"/>
      <c r="AM29" s="988"/>
      <c r="AN29" s="988"/>
      <c r="AO29" s="988"/>
      <c r="AP29" s="988"/>
      <c r="AQ29" s="988"/>
      <c r="AR29" s="988"/>
      <c r="AS29" s="988"/>
      <c r="AT29" s="988"/>
      <c r="AU29" s="988"/>
      <c r="AV29" s="988"/>
      <c r="AW29" s="988"/>
    </row>
    <row r="30" spans="1:80" s="448" customFormat="1" ht="12.75" customHeight="1" x14ac:dyDescent="0.25">
      <c r="A30" s="449" t="s">
        <v>175</v>
      </c>
      <c r="B30" s="882" t="s">
        <v>176</v>
      </c>
      <c r="C30" s="882" t="str">
        <f>C24</f>
        <v>IT-System</v>
      </c>
      <c r="D30" s="774"/>
      <c r="E30" s="987"/>
      <c r="F30" s="987"/>
      <c r="G30" s="987"/>
      <c r="H30" s="987"/>
      <c r="I30" s="987"/>
      <c r="J30" s="987"/>
      <c r="K30" s="987"/>
      <c r="L30" s="993"/>
      <c r="M30" s="1163"/>
      <c r="N30" s="1163"/>
      <c r="O30" s="1163"/>
      <c r="P30" s="1163"/>
      <c r="Q30" s="1163"/>
      <c r="R30" s="993"/>
      <c r="S30" s="993"/>
      <c r="T30" s="993"/>
      <c r="U30" s="993"/>
      <c r="V30" s="993"/>
      <c r="W30" s="993"/>
      <c r="X30" s="993"/>
      <c r="Y30" s="993"/>
      <c r="Z30" s="993"/>
      <c r="AA30" s="993"/>
      <c r="AB30" s="988"/>
      <c r="AC30" s="988"/>
      <c r="AD30" s="2477"/>
      <c r="AE30" s="2477"/>
      <c r="AF30" s="2477"/>
      <c r="AG30" s="2477"/>
      <c r="AH30" s="2477"/>
      <c r="AI30" s="2477"/>
      <c r="AJ30" s="2477"/>
      <c r="AK30" s="2477"/>
      <c r="AL30" s="988"/>
      <c r="AM30" s="988"/>
      <c r="AN30" s="988"/>
      <c r="AO30" s="988"/>
      <c r="AP30" s="988"/>
      <c r="AQ30" s="988"/>
      <c r="AR30" s="988"/>
      <c r="AS30" s="988"/>
      <c r="AT30" s="988"/>
      <c r="AU30" s="988"/>
      <c r="AV30" s="988"/>
      <c r="AW30" s="988"/>
    </row>
    <row r="31" spans="1:80" s="448" customFormat="1" ht="12.75" customHeight="1" x14ac:dyDescent="0.25">
      <c r="A31" s="449" t="s">
        <v>175</v>
      </c>
      <c r="B31" s="882" t="s">
        <v>176</v>
      </c>
      <c r="C31" s="882" t="str">
        <f t="shared" ref="C31:C34" si="72">C25</f>
        <v>Byggnader och Mark</v>
      </c>
      <c r="D31" s="774"/>
      <c r="E31" s="987"/>
      <c r="F31" s="987"/>
      <c r="G31" s="987"/>
      <c r="H31" s="987"/>
      <c r="I31" s="987"/>
      <c r="J31" s="987"/>
      <c r="K31" s="987"/>
      <c r="L31" s="992"/>
      <c r="M31" s="987">
        <v>14.2</v>
      </c>
      <c r="N31" s="987">
        <v>14.2</v>
      </c>
      <c r="O31" s="987">
        <v>14.2</v>
      </c>
      <c r="P31" s="987">
        <v>4.2</v>
      </c>
      <c r="Q31" s="987"/>
      <c r="R31" s="993"/>
      <c r="S31" s="993"/>
      <c r="T31" s="993"/>
      <c r="U31" s="993"/>
      <c r="V31" s="993"/>
      <c r="W31" s="993"/>
      <c r="X31" s="993"/>
      <c r="Y31" s="993"/>
      <c r="Z31" s="993"/>
      <c r="AA31" s="993"/>
      <c r="AB31" s="988"/>
      <c r="AC31" s="988"/>
      <c r="AD31" s="2185" t="s">
        <v>891</v>
      </c>
      <c r="AE31" s="2185"/>
      <c r="AF31" s="2185"/>
      <c r="AG31" s="2185"/>
      <c r="AH31" s="2173" t="s">
        <v>886</v>
      </c>
      <c r="AI31" s="2173" t="s">
        <v>887</v>
      </c>
      <c r="AJ31" s="2173" t="s">
        <v>888</v>
      </c>
      <c r="AK31" s="2173" t="s">
        <v>889</v>
      </c>
      <c r="AL31" s="988"/>
      <c r="AM31" s="988"/>
      <c r="AN31" s="988"/>
      <c r="AO31" s="988"/>
      <c r="AP31" s="988"/>
      <c r="AQ31" s="988"/>
      <c r="AR31" s="988"/>
      <c r="AS31" s="988"/>
      <c r="AT31" s="988"/>
      <c r="AU31" s="988"/>
      <c r="AV31" s="988"/>
      <c r="AW31" s="988"/>
    </row>
    <row r="32" spans="1:80" s="448" customFormat="1" ht="12.75" customHeight="1" x14ac:dyDescent="0.25">
      <c r="A32" s="449" t="s">
        <v>175</v>
      </c>
      <c r="B32" s="882" t="s">
        <v>176</v>
      </c>
      <c r="C32" s="882" t="str">
        <f t="shared" si="72"/>
        <v>Maskiner och inventarier</v>
      </c>
      <c r="D32" s="774"/>
      <c r="E32" s="984"/>
      <c r="F32" s="984"/>
      <c r="G32" s="984"/>
      <c r="H32" s="984"/>
      <c r="I32" s="984"/>
      <c r="J32" s="984"/>
      <c r="K32" s="984"/>
      <c r="L32" s="985"/>
      <c r="M32" s="987">
        <v>-14.2</v>
      </c>
      <c r="N32" s="987">
        <v>-14.2</v>
      </c>
      <c r="O32" s="987">
        <v>-14.2</v>
      </c>
      <c r="P32" s="987">
        <v>-4.2</v>
      </c>
      <c r="Q32" s="987"/>
      <c r="R32" s="993"/>
      <c r="S32" s="993"/>
      <c r="T32" s="993"/>
      <c r="U32" s="993"/>
      <c r="V32" s="993"/>
      <c r="W32" s="993"/>
      <c r="X32" s="993"/>
      <c r="Y32" s="993"/>
      <c r="Z32" s="993"/>
      <c r="AA32" s="993"/>
      <c r="AB32" s="988"/>
      <c r="AC32" s="988"/>
      <c r="AD32" s="2174" t="str">
        <f>C30</f>
        <v>IT-System</v>
      </c>
      <c r="AE32" s="2187"/>
      <c r="AF32" s="2187"/>
      <c r="AG32" s="2187"/>
      <c r="AH32" s="2182">
        <f>SUM(BT12:BU12)</f>
        <v>-1.95</v>
      </c>
      <c r="AI32" s="2182">
        <f>SUM(BX12:BY12)</f>
        <v>-2</v>
      </c>
      <c r="AJ32" s="2188">
        <f>(AI32/AH32)-1</f>
        <v>2.5641025641025772E-2</v>
      </c>
      <c r="AK32" s="2182">
        <f>AI32-AH32</f>
        <v>-5.0000000000000044E-2</v>
      </c>
      <c r="AL32" s="988"/>
      <c r="AM32" s="988"/>
      <c r="AN32" s="988"/>
      <c r="AO32" s="988"/>
      <c r="AP32" s="988"/>
      <c r="AQ32" s="988"/>
      <c r="AR32" s="988"/>
      <c r="AS32" s="988"/>
      <c r="AT32" s="988"/>
      <c r="AU32" s="988"/>
      <c r="AV32" s="988"/>
      <c r="AW32" s="988"/>
    </row>
    <row r="33" spans="1:49" s="448" customFormat="1" ht="12.75" customHeight="1" x14ac:dyDescent="0.25">
      <c r="A33" s="449" t="s">
        <v>175</v>
      </c>
      <c r="B33" s="883" t="s">
        <v>176</v>
      </c>
      <c r="C33" s="883" t="str">
        <f t="shared" si="72"/>
        <v>Nyttjanderättstillgångar</v>
      </c>
      <c r="D33" s="774"/>
      <c r="E33" s="989"/>
      <c r="F33" s="989"/>
      <c r="G33" s="989"/>
      <c r="H33" s="989"/>
      <c r="I33" s="989"/>
      <c r="J33" s="989"/>
      <c r="K33" s="989"/>
      <c r="L33" s="985"/>
      <c r="M33" s="1165"/>
      <c r="N33" s="1165"/>
      <c r="O33" s="1165"/>
      <c r="P33" s="1165"/>
      <c r="Q33" s="1165"/>
      <c r="R33" s="993"/>
      <c r="S33" s="993"/>
      <c r="T33" s="993"/>
      <c r="U33" s="993"/>
      <c r="V33" s="993"/>
      <c r="W33" s="993"/>
      <c r="X33" s="993"/>
      <c r="Y33" s="993"/>
      <c r="Z33" s="993"/>
      <c r="AA33" s="993"/>
      <c r="AB33" s="988"/>
      <c r="AC33" s="988"/>
      <c r="AD33" s="988" t="str">
        <f>C31</f>
        <v>Byggnader och Mark</v>
      </c>
      <c r="AE33" s="988"/>
      <c r="AF33" s="988"/>
      <c r="AG33" s="988"/>
      <c r="AH33" s="2182">
        <f>SUM(BT13:BU13)</f>
        <v>-3.7500000000000009</v>
      </c>
      <c r="AI33" s="2182">
        <f>SUM(BX13:BY13)</f>
        <v>-3.8200509999999999</v>
      </c>
      <c r="AJ33" s="2188">
        <f>(AI33/AH33)-1</f>
        <v>1.8680266666666334E-2</v>
      </c>
      <c r="AK33" s="2182">
        <f>AI33-AH33</f>
        <v>-7.0050999999998975E-2</v>
      </c>
      <c r="AL33" s="988"/>
      <c r="AM33" s="988"/>
      <c r="AN33" s="988"/>
      <c r="AO33" s="988"/>
      <c r="AP33" s="988"/>
      <c r="AQ33" s="988"/>
      <c r="AR33" s="988"/>
      <c r="AS33" s="988"/>
      <c r="AT33" s="988"/>
      <c r="AU33" s="988"/>
      <c r="AV33" s="988"/>
      <c r="AW33" s="988"/>
    </row>
    <row r="34" spans="1:49" s="448" customFormat="1" ht="12.75" customHeight="1" x14ac:dyDescent="0.25">
      <c r="A34" s="449" t="s">
        <v>175</v>
      </c>
      <c r="B34" s="884" t="s">
        <v>176</v>
      </c>
      <c r="C34" s="884" t="str">
        <f t="shared" si="72"/>
        <v xml:space="preserve">Totala avskrivningar </v>
      </c>
      <c r="D34" s="774"/>
      <c r="E34" s="991"/>
      <c r="F34" s="991"/>
      <c r="G34" s="991"/>
      <c r="H34" s="991"/>
      <c r="I34" s="991"/>
      <c r="J34" s="991"/>
      <c r="K34" s="991"/>
      <c r="L34" s="992"/>
      <c r="M34" s="991">
        <f>SUM(M30:M33)</f>
        <v>0</v>
      </c>
      <c r="N34" s="991">
        <f>SUM(N30:N33)</f>
        <v>0</v>
      </c>
      <c r="O34" s="991">
        <f>SUM(O30:O33)</f>
        <v>0</v>
      </c>
      <c r="P34" s="991">
        <f>SUM(P30:P33)</f>
        <v>0</v>
      </c>
      <c r="Q34" s="991">
        <f>SUM(Q30:Q33)</f>
        <v>0</v>
      </c>
      <c r="R34" s="993"/>
      <c r="S34" s="993"/>
      <c r="T34" s="993"/>
      <c r="U34" s="993"/>
      <c r="V34" s="993"/>
      <c r="W34" s="993"/>
      <c r="X34" s="993"/>
      <c r="Y34" s="993"/>
      <c r="Z34" s="993"/>
      <c r="AA34" s="993"/>
      <c r="AB34" s="988"/>
      <c r="AC34" s="988"/>
      <c r="AD34" s="988" t="str">
        <f>C32</f>
        <v>Maskiner och inventarier</v>
      </c>
      <c r="AE34" s="988"/>
      <c r="AF34" s="988"/>
      <c r="AG34" s="988"/>
      <c r="AH34" s="2194">
        <f>SUM(BT14:BU14)</f>
        <v>-42.55</v>
      </c>
      <c r="AI34" s="2194">
        <f>SUM(BX14:BY14)</f>
        <v>-43.743859</v>
      </c>
      <c r="AJ34" s="2188">
        <f>(AI34/AH34)-1</f>
        <v>2.8057790834312701E-2</v>
      </c>
      <c r="AK34" s="2182">
        <f>AI34-AH34</f>
        <v>-1.1938590000000033</v>
      </c>
      <c r="AL34" s="988"/>
      <c r="AM34" s="988"/>
      <c r="AN34" s="988"/>
      <c r="AO34" s="988"/>
      <c r="AP34" s="988"/>
      <c r="AQ34" s="988"/>
      <c r="AR34" s="988"/>
      <c r="AS34" s="988"/>
      <c r="AT34" s="988"/>
      <c r="AU34" s="988"/>
      <c r="AV34" s="988"/>
      <c r="AW34" s="988"/>
    </row>
    <row r="35" spans="1:49" s="448" customFormat="1" ht="12.75" customHeight="1" x14ac:dyDescent="0.25">
      <c r="C35" s="433"/>
      <c r="D35" s="774"/>
      <c r="E35" s="993"/>
      <c r="F35" s="993"/>
      <c r="G35" s="993"/>
      <c r="H35" s="1005"/>
      <c r="I35" s="1005"/>
      <c r="J35" s="1005"/>
      <c r="K35" s="1005"/>
      <c r="L35" s="993"/>
      <c r="M35" s="993"/>
      <c r="N35" s="993"/>
      <c r="O35" s="993"/>
      <c r="P35" s="993"/>
      <c r="Q35" s="993"/>
      <c r="R35" s="993"/>
      <c r="S35" s="993"/>
      <c r="T35" s="993"/>
      <c r="U35" s="993"/>
      <c r="V35" s="993"/>
      <c r="W35" s="993"/>
      <c r="X35" s="993"/>
      <c r="Y35" s="993"/>
      <c r="Z35" s="993"/>
      <c r="AA35" s="993"/>
      <c r="AB35" s="988"/>
      <c r="AC35" s="988"/>
      <c r="AD35" s="2175" t="str">
        <f>C33</f>
        <v>Nyttjanderättstillgångar</v>
      </c>
      <c r="AE35" s="2175"/>
      <c r="AF35" s="2175"/>
      <c r="AG35" s="2175"/>
      <c r="AH35" s="2178">
        <f>SUM(BT15:BU15)</f>
        <v>-0.10000000000000053</v>
      </c>
      <c r="AI35" s="2178">
        <f>SUM(BX15:BY15)</f>
        <v>3.6123999999999601E-2</v>
      </c>
      <c r="AJ35" s="2179">
        <f>(AI35/AH35)-1</f>
        <v>-1.361239999999994</v>
      </c>
      <c r="AK35" s="2178">
        <f>AI35-AH35</f>
        <v>0.13612400000000013</v>
      </c>
      <c r="AL35" s="988"/>
      <c r="AM35" s="988"/>
      <c r="AN35" s="988"/>
      <c r="AO35" s="988"/>
      <c r="AP35" s="988"/>
      <c r="AQ35" s="988"/>
      <c r="AR35" s="988"/>
      <c r="AS35" s="988"/>
      <c r="AT35" s="988"/>
      <c r="AU35" s="988"/>
      <c r="AV35" s="988"/>
      <c r="AW35" s="988"/>
    </row>
    <row r="36" spans="1:49" s="448" customFormat="1" ht="12.75" customHeight="1" x14ac:dyDescent="0.25">
      <c r="A36" s="449" t="s">
        <v>177</v>
      </c>
      <c r="B36" s="882" t="s">
        <v>178</v>
      </c>
      <c r="C36" s="882" t="str">
        <f>C24</f>
        <v>IT-System</v>
      </c>
      <c r="D36" s="774"/>
      <c r="E36" s="987"/>
      <c r="F36" s="987"/>
      <c r="G36" s="987"/>
      <c r="H36" s="987"/>
      <c r="I36" s="987"/>
      <c r="J36" s="987"/>
      <c r="K36" s="987"/>
      <c r="L36" s="993"/>
      <c r="M36" s="1160">
        <f>SUM(M18,M24,M30)</f>
        <v>-6.6</v>
      </c>
      <c r="N36" s="1160">
        <f t="shared" ref="N36:O36" si="73">SUM(N18,N24,N30)</f>
        <v>-3.89</v>
      </c>
      <c r="O36" s="1160">
        <f t="shared" si="73"/>
        <v>-3.9</v>
      </c>
      <c r="P36" s="1160">
        <f>SUM(P18,P24,P30)</f>
        <v>-1</v>
      </c>
      <c r="Q36" s="1160">
        <f>SUM(Q18,Q24,Q30)</f>
        <v>-1</v>
      </c>
      <c r="R36" s="993"/>
      <c r="S36" s="993"/>
      <c r="T36" s="993"/>
      <c r="U36" s="993"/>
      <c r="V36" s="993"/>
      <c r="W36" s="993"/>
      <c r="X36" s="993"/>
      <c r="Y36" s="993"/>
      <c r="Z36" s="993"/>
      <c r="AA36" s="993"/>
      <c r="AB36" s="988"/>
      <c r="AC36" s="988"/>
      <c r="AD36" s="2186" t="s">
        <v>695</v>
      </c>
      <c r="AE36" s="988"/>
      <c r="AF36" s="988"/>
      <c r="AG36" s="988"/>
      <c r="AH36" s="2183">
        <f>SUM(AH33:AH35)</f>
        <v>-46.4</v>
      </c>
      <c r="AI36" s="2183">
        <f>SUM(AI33:AI35)</f>
        <v>-47.527785999999999</v>
      </c>
      <c r="AJ36" s="2189">
        <f>(AI36/AH36)-1</f>
        <v>2.4305732758620691E-2</v>
      </c>
      <c r="AK36" s="2183">
        <f>AI36-AH36</f>
        <v>-1.1277860000000004</v>
      </c>
      <c r="AL36" s="988"/>
      <c r="AM36" s="988"/>
      <c r="AN36" s="988"/>
      <c r="AO36" s="988"/>
      <c r="AP36" s="988"/>
      <c r="AQ36" s="988"/>
      <c r="AR36" s="988"/>
      <c r="AS36" s="988"/>
      <c r="AT36" s="988"/>
      <c r="AU36" s="988"/>
      <c r="AV36" s="988"/>
      <c r="AW36" s="988"/>
    </row>
    <row r="37" spans="1:49" s="448" customFormat="1" ht="12.75" customHeight="1" x14ac:dyDescent="0.25">
      <c r="A37" s="449" t="s">
        <v>177</v>
      </c>
      <c r="B37" s="882" t="s">
        <v>178</v>
      </c>
      <c r="C37" s="882" t="str">
        <f t="shared" ref="C37:C40" si="74">C25</f>
        <v>Byggnader och Mark</v>
      </c>
      <c r="D37" s="774"/>
      <c r="E37" s="987"/>
      <c r="F37" s="987"/>
      <c r="G37" s="987"/>
      <c r="H37" s="987"/>
      <c r="I37" s="987"/>
      <c r="J37" s="987"/>
      <c r="K37" s="987"/>
      <c r="L37" s="993"/>
      <c r="M37" s="1160">
        <f t="shared" ref="M37:P40" si="75">SUM(M19,M25,M31)</f>
        <v>-13.100000000000001</v>
      </c>
      <c r="N37" s="1160">
        <f t="shared" si="75"/>
        <v>-14.100000000000001</v>
      </c>
      <c r="O37" s="1160">
        <f t="shared" si="75"/>
        <v>-14.100000000000001</v>
      </c>
      <c r="P37" s="1160">
        <f t="shared" ref="P37:P39" si="76">SUM(P19,P25,P31)</f>
        <v>-3.6570510000000001</v>
      </c>
      <c r="Q37" s="1160">
        <f>SUM(Q19,Q25,Q31)</f>
        <v>-3.863</v>
      </c>
      <c r="R37" s="993"/>
      <c r="S37" s="993"/>
      <c r="T37" s="993"/>
      <c r="U37" s="993"/>
      <c r="V37" s="993"/>
      <c r="W37" s="993"/>
      <c r="X37" s="993"/>
      <c r="Y37" s="993"/>
      <c r="Z37" s="993"/>
      <c r="AA37" s="993"/>
      <c r="AB37" s="988"/>
      <c r="AC37" s="988"/>
      <c r="AD37" s="988"/>
      <c r="AE37" s="988"/>
      <c r="AF37" s="988"/>
      <c r="AG37" s="988"/>
      <c r="AH37" s="988"/>
      <c r="AI37" s="988"/>
      <c r="AJ37" s="988"/>
      <c r="AK37" s="988"/>
      <c r="AL37" s="988"/>
      <c r="AM37" s="988"/>
      <c r="AN37" s="988"/>
      <c r="AO37" s="988"/>
      <c r="AP37" s="988"/>
      <c r="AQ37" s="988"/>
      <c r="AR37" s="988"/>
      <c r="AS37" s="988"/>
      <c r="AT37" s="988"/>
      <c r="AU37" s="988"/>
      <c r="AV37" s="988"/>
      <c r="AW37" s="988"/>
    </row>
    <row r="38" spans="1:49" s="433" customFormat="1" ht="12.75" customHeight="1" x14ac:dyDescent="0.25">
      <c r="A38" s="449" t="s">
        <v>177</v>
      </c>
      <c r="B38" s="882" t="s">
        <v>178</v>
      </c>
      <c r="C38" s="882" t="str">
        <f t="shared" si="74"/>
        <v>Maskiner och inventarier</v>
      </c>
      <c r="D38" s="1159"/>
      <c r="E38" s="987"/>
      <c r="F38" s="987"/>
      <c r="G38" s="987"/>
      <c r="H38" s="987"/>
      <c r="I38" s="987"/>
      <c r="J38" s="987"/>
      <c r="K38" s="987"/>
      <c r="L38" s="993"/>
      <c r="M38" s="1160">
        <f t="shared" si="75"/>
        <v>-158.6</v>
      </c>
      <c r="N38" s="1160">
        <f t="shared" si="75"/>
        <v>-153.29999999999998</v>
      </c>
      <c r="O38" s="1160">
        <f t="shared" si="75"/>
        <v>-154.69999999999999</v>
      </c>
      <c r="P38" s="1160">
        <f t="shared" si="76"/>
        <v>-38.078339</v>
      </c>
      <c r="Q38" s="1160">
        <f>SUM(Q20,Q26,Q32)</f>
        <v>-38.565519999999999</v>
      </c>
      <c r="R38" s="993"/>
      <c r="S38" s="993"/>
      <c r="T38" s="993"/>
      <c r="U38" s="993"/>
      <c r="V38" s="993"/>
      <c r="W38" s="993"/>
      <c r="X38" s="993"/>
      <c r="Y38" s="993"/>
      <c r="Z38" s="993"/>
      <c r="AA38" s="993"/>
      <c r="AB38" s="993"/>
      <c r="AC38" s="993"/>
      <c r="AD38" s="988"/>
      <c r="AE38" s="988"/>
      <c r="AF38" s="988"/>
      <c r="AG38" s="988"/>
      <c r="AH38" s="988"/>
      <c r="AI38" s="988"/>
      <c r="AJ38" s="988"/>
      <c r="AK38" s="988"/>
      <c r="AL38" s="993"/>
      <c r="AM38" s="993"/>
      <c r="AN38" s="993"/>
      <c r="AO38" s="993"/>
      <c r="AP38" s="993"/>
      <c r="AQ38" s="993"/>
      <c r="AR38" s="993"/>
      <c r="AS38" s="993"/>
      <c r="AT38" s="993"/>
      <c r="AU38" s="993"/>
      <c r="AV38" s="993"/>
      <c r="AW38" s="993"/>
    </row>
    <row r="39" spans="1:49" s="448" customFormat="1" ht="12.75" customHeight="1" x14ac:dyDescent="0.25">
      <c r="A39" s="449" t="s">
        <v>177</v>
      </c>
      <c r="B39" s="883" t="s">
        <v>178</v>
      </c>
      <c r="C39" s="883" t="str">
        <f t="shared" si="74"/>
        <v>Nyttjanderättstillgångar</v>
      </c>
      <c r="D39" s="774"/>
      <c r="E39" s="989"/>
      <c r="F39" s="989"/>
      <c r="G39" s="989"/>
      <c r="H39" s="989"/>
      <c r="I39" s="989"/>
      <c r="J39" s="989"/>
      <c r="K39" s="989"/>
      <c r="L39" s="993"/>
      <c r="M39" s="1161">
        <f t="shared" si="75"/>
        <v>-9.6999999999999993</v>
      </c>
      <c r="N39" s="1161">
        <f t="shared" si="75"/>
        <v>-13.5</v>
      </c>
      <c r="O39" s="1161">
        <f t="shared" si="75"/>
        <v>-13.4</v>
      </c>
      <c r="P39" s="1161">
        <f t="shared" si="76"/>
        <v>-3.5652520000000001</v>
      </c>
      <c r="Q39" s="1161">
        <f>SUM(Q21,Q27,Q33)</f>
        <v>-3.498624</v>
      </c>
      <c r="R39" s="993"/>
      <c r="S39" s="993"/>
      <c r="T39" s="993"/>
      <c r="U39" s="993"/>
      <c r="V39" s="993"/>
      <c r="W39" s="993"/>
      <c r="X39" s="993"/>
      <c r="Y39" s="993"/>
      <c r="Z39" s="993"/>
      <c r="AA39" s="993"/>
      <c r="AB39" s="988"/>
      <c r="AC39" s="988"/>
      <c r="AD39" s="2190" t="s">
        <v>892</v>
      </c>
      <c r="AE39" s="2191"/>
      <c r="AF39" s="2191"/>
      <c r="AG39" s="2191"/>
      <c r="AH39" s="2173" t="s">
        <v>886</v>
      </c>
      <c r="AI39" s="2173" t="s">
        <v>887</v>
      </c>
      <c r="AJ39" s="2173" t="s">
        <v>888</v>
      </c>
      <c r="AK39" s="2173" t="s">
        <v>889</v>
      </c>
      <c r="AL39" s="988"/>
      <c r="AM39" s="988"/>
      <c r="AN39" s="988"/>
      <c r="AO39" s="988"/>
      <c r="AP39" s="988"/>
      <c r="AQ39" s="988"/>
      <c r="AR39" s="988"/>
      <c r="AS39" s="988"/>
      <c r="AT39" s="988"/>
      <c r="AU39" s="988"/>
      <c r="AV39" s="988"/>
      <c r="AW39" s="988"/>
    </row>
    <row r="40" spans="1:49" s="448" customFormat="1" ht="12.75" customHeight="1" x14ac:dyDescent="0.25">
      <c r="A40" s="449" t="s">
        <v>177</v>
      </c>
      <c r="B40" s="884" t="s">
        <v>178</v>
      </c>
      <c r="C40" s="884" t="str">
        <f t="shared" si="74"/>
        <v xml:space="preserve">Totala avskrivningar </v>
      </c>
      <c r="D40" s="774"/>
      <c r="E40" s="991"/>
      <c r="F40" s="991"/>
      <c r="G40" s="991"/>
      <c r="H40" s="991"/>
      <c r="I40" s="991"/>
      <c r="J40" s="991"/>
      <c r="K40" s="991"/>
      <c r="L40" s="993"/>
      <c r="M40" s="1162">
        <f t="shared" si="75"/>
        <v>-188</v>
      </c>
      <c r="N40" s="1162">
        <f t="shared" si="75"/>
        <v>-184.79000000000002</v>
      </c>
      <c r="O40" s="1162">
        <f t="shared" si="75"/>
        <v>-186.10000000000002</v>
      </c>
      <c r="P40" s="1162">
        <f t="shared" si="75"/>
        <v>-46.300641999999996</v>
      </c>
      <c r="Q40" s="1162">
        <f t="shared" ref="Q40" si="77">SUM(Q22,Q28,Q34)</f>
        <v>-46.927143999999998</v>
      </c>
      <c r="R40" s="993"/>
      <c r="S40" s="993"/>
      <c r="T40" s="993"/>
      <c r="U40" s="993"/>
      <c r="V40" s="993"/>
      <c r="W40" s="993"/>
      <c r="X40" s="993"/>
      <c r="Y40" s="993"/>
      <c r="Z40" s="993"/>
      <c r="AA40" s="993"/>
      <c r="AB40" s="988"/>
      <c r="AC40" s="988"/>
      <c r="AD40" s="988" t="str">
        <f>AD32</f>
        <v>IT-System</v>
      </c>
      <c r="AE40" s="988"/>
      <c r="AF40" s="988"/>
      <c r="AG40" s="988"/>
      <c r="AH40" s="988">
        <v>40.561033000000002</v>
      </c>
      <c r="AI40" s="988">
        <v>42.6</v>
      </c>
      <c r="AJ40" s="2188">
        <f>(AI40/AH40)-1</f>
        <v>5.0269109270466572E-2</v>
      </c>
      <c r="AK40" s="2182">
        <f>AI40-AH40</f>
        <v>2.0389669999999995</v>
      </c>
      <c r="AL40" s="988"/>
      <c r="AM40" s="988"/>
      <c r="AN40" s="988"/>
      <c r="AO40" s="988"/>
      <c r="AP40" s="988"/>
      <c r="AQ40" s="988"/>
      <c r="AR40" s="988"/>
      <c r="AS40" s="988"/>
      <c r="AT40" s="988"/>
      <c r="AU40" s="988"/>
      <c r="AV40" s="988"/>
      <c r="AW40" s="988"/>
    </row>
    <row r="41" spans="1:49" s="448" customFormat="1" ht="12.75" customHeight="1" x14ac:dyDescent="0.25">
      <c r="C41" s="433"/>
      <c r="D41" s="774"/>
      <c r="E41" s="993"/>
      <c r="F41" s="993"/>
      <c r="G41" s="993"/>
      <c r="H41" s="1005"/>
      <c r="I41" s="1005"/>
      <c r="J41" s="1005"/>
      <c r="K41" s="1005"/>
      <c r="L41" s="993"/>
      <c r="M41" s="993"/>
      <c r="N41" s="993"/>
      <c r="O41" s="993"/>
      <c r="P41" s="993"/>
      <c r="Q41" s="993"/>
      <c r="R41" s="993"/>
      <c r="S41" s="993"/>
      <c r="T41" s="993"/>
      <c r="U41" s="993"/>
      <c r="V41" s="993"/>
      <c r="W41" s="993"/>
      <c r="X41" s="993"/>
      <c r="Y41" s="993"/>
      <c r="Z41" s="993"/>
      <c r="AA41" s="993"/>
      <c r="AB41" s="988"/>
      <c r="AC41" s="988"/>
      <c r="AD41" s="988" t="str">
        <f>AD33</f>
        <v>Byggnader och Mark</v>
      </c>
      <c r="AE41" s="988"/>
      <c r="AF41" s="988"/>
      <c r="AG41" s="988"/>
      <c r="AH41" s="988">
        <v>756.01028099999996</v>
      </c>
      <c r="AI41" s="988">
        <v>808.12958900000001</v>
      </c>
      <c r="AJ41" s="2188">
        <f>(AI41/AH41)-1</f>
        <v>6.8939946069331404E-2</v>
      </c>
      <c r="AK41" s="2182">
        <f>AI41-AH41</f>
        <v>52.119308000000046</v>
      </c>
      <c r="AL41" s="988"/>
      <c r="AM41" s="988"/>
      <c r="AN41" s="988"/>
      <c r="AO41" s="988"/>
      <c r="AP41" s="988"/>
      <c r="AQ41" s="988"/>
      <c r="AR41" s="988"/>
      <c r="AS41" s="988"/>
      <c r="AT41" s="988"/>
      <c r="AU41" s="988"/>
      <c r="AV41" s="988"/>
      <c r="AW41" s="988"/>
    </row>
    <row r="42" spans="1:49" s="448" customFormat="1" ht="12.75" customHeight="1" x14ac:dyDescent="0.25">
      <c r="A42" s="449" t="s">
        <v>179</v>
      </c>
      <c r="B42" s="882" t="s">
        <v>180</v>
      </c>
      <c r="C42" s="882" t="s">
        <v>168</v>
      </c>
      <c r="D42" s="774"/>
      <c r="E42" s="987"/>
      <c r="F42" s="987"/>
      <c r="G42" s="987"/>
      <c r="H42" s="987"/>
      <c r="I42" s="987"/>
      <c r="J42" s="987"/>
      <c r="K42" s="987"/>
      <c r="L42" s="993"/>
      <c r="M42" s="987">
        <v>-4.6226776384535002</v>
      </c>
      <c r="N42" s="987">
        <v>-3.89</v>
      </c>
      <c r="O42" s="987">
        <v>-3.9</v>
      </c>
      <c r="P42" s="1163"/>
      <c r="Q42" s="1163"/>
      <c r="R42" s="993"/>
      <c r="S42" s="993"/>
      <c r="T42" s="993"/>
      <c r="U42" s="993"/>
      <c r="V42" s="993"/>
      <c r="W42" s="993"/>
      <c r="X42" s="993"/>
      <c r="Y42" s="993"/>
      <c r="Z42" s="993"/>
      <c r="AA42" s="993"/>
      <c r="AB42" s="988"/>
      <c r="AC42" s="988"/>
      <c r="AD42" s="2175" t="str">
        <f>AD34</f>
        <v>Maskiner och inventarier</v>
      </c>
      <c r="AE42" s="2175"/>
      <c r="AF42" s="2175"/>
      <c r="AG42" s="2175"/>
      <c r="AH42" s="2175">
        <v>1880.3023069999999</v>
      </c>
      <c r="AI42" s="2175">
        <v>2001.546662</v>
      </c>
      <c r="AJ42" s="2179">
        <f>(AI42/AH42)-1</f>
        <v>6.4481309494027084E-2</v>
      </c>
      <c r="AK42" s="2178">
        <f>AI42-AH42</f>
        <v>121.24435500000004</v>
      </c>
      <c r="AL42" s="988"/>
      <c r="AM42" s="988"/>
      <c r="AN42" s="988"/>
      <c r="AO42" s="988"/>
      <c r="AP42" s="988"/>
      <c r="AQ42" s="988"/>
      <c r="AR42" s="988"/>
      <c r="AS42" s="988"/>
      <c r="AT42" s="988"/>
      <c r="AU42" s="988"/>
      <c r="AV42" s="988"/>
      <c r="AW42" s="988"/>
    </row>
    <row r="43" spans="1:49" s="448" customFormat="1" ht="12.75" customHeight="1" x14ac:dyDescent="0.25">
      <c r="A43" s="449" t="s">
        <v>179</v>
      </c>
      <c r="B43" s="882" t="s">
        <v>180</v>
      </c>
      <c r="C43" s="882" t="s">
        <v>169</v>
      </c>
      <c r="D43" s="774"/>
      <c r="E43" s="987"/>
      <c r="F43" s="987"/>
      <c r="G43" s="987"/>
      <c r="H43" s="987"/>
      <c r="I43" s="987"/>
      <c r="J43" s="987"/>
      <c r="K43" s="987"/>
      <c r="L43" s="992"/>
      <c r="M43" s="987">
        <v>-27.32030374870833</v>
      </c>
      <c r="N43" s="987">
        <v>-28.3</v>
      </c>
      <c r="O43" s="987">
        <v>-28.3</v>
      </c>
      <c r="P43" s="1163"/>
      <c r="Q43" s="1163"/>
      <c r="R43" s="993"/>
      <c r="S43" s="993"/>
      <c r="T43" s="993"/>
      <c r="U43" s="993"/>
      <c r="V43" s="993"/>
      <c r="W43" s="993"/>
      <c r="X43" s="993"/>
      <c r="Y43" s="993"/>
      <c r="Z43" s="993"/>
      <c r="AA43" s="993"/>
      <c r="AB43" s="988"/>
      <c r="AC43" s="988"/>
      <c r="AD43" s="2186" t="s">
        <v>695</v>
      </c>
      <c r="AE43" s="988"/>
      <c r="AF43" s="988"/>
      <c r="AG43" s="988"/>
      <c r="AH43" s="2186">
        <f>SUM(AH40:AH42)</f>
        <v>2676.8736209999997</v>
      </c>
      <c r="AI43" s="2186">
        <f>SUM(AI40:AI42)</f>
        <v>2852.2762510000002</v>
      </c>
      <c r="AJ43" s="2192">
        <f>(AI43/AH43)-1</f>
        <v>6.5525181549092038E-2</v>
      </c>
      <c r="AK43" s="2183">
        <f>AI43-AH43</f>
        <v>175.4026300000005</v>
      </c>
      <c r="AL43" s="988"/>
      <c r="AM43" s="988"/>
      <c r="AN43" s="988"/>
      <c r="AO43" s="988"/>
      <c r="AP43" s="988"/>
      <c r="AQ43" s="988"/>
      <c r="AR43" s="988"/>
      <c r="AS43" s="988"/>
      <c r="AT43" s="988"/>
      <c r="AU43" s="988"/>
      <c r="AV43" s="988"/>
      <c r="AW43" s="988"/>
    </row>
    <row r="44" spans="1:49" s="448" customFormat="1" ht="12.75" customHeight="1" x14ac:dyDescent="0.25">
      <c r="A44" s="449" t="s">
        <v>179</v>
      </c>
      <c r="B44" s="882" t="s">
        <v>180</v>
      </c>
      <c r="C44" s="882" t="s">
        <v>170</v>
      </c>
      <c r="D44" s="774"/>
      <c r="E44" s="984"/>
      <c r="F44" s="984"/>
      <c r="G44" s="984"/>
      <c r="H44" s="984"/>
      <c r="I44" s="984"/>
      <c r="J44" s="984"/>
      <c r="K44" s="984"/>
      <c r="L44" s="985"/>
      <c r="M44" s="987">
        <v>-134.68912803387835</v>
      </c>
      <c r="N44" s="987">
        <v>-139.1</v>
      </c>
      <c r="O44" s="987">
        <v>-140.5</v>
      </c>
      <c r="P44" s="1164"/>
      <c r="Q44" s="1164"/>
      <c r="R44" s="986"/>
      <c r="S44" s="986"/>
      <c r="T44" s="986"/>
      <c r="U44" s="993"/>
      <c r="V44" s="993"/>
      <c r="W44" s="993"/>
      <c r="X44" s="993"/>
      <c r="Y44" s="993"/>
      <c r="Z44" s="993"/>
      <c r="AA44" s="993"/>
      <c r="AB44" s="988"/>
      <c r="AC44" s="988"/>
      <c r="AD44" s="988"/>
      <c r="AE44" s="988"/>
      <c r="AF44" s="988"/>
      <c r="AG44" s="988"/>
      <c r="AH44" s="988"/>
      <c r="AI44" s="988"/>
      <c r="AJ44" s="988"/>
      <c r="AK44" s="988"/>
      <c r="AL44" s="988"/>
      <c r="AM44" s="988"/>
      <c r="AN44" s="988"/>
      <c r="AO44" s="988"/>
      <c r="AP44" s="988"/>
      <c r="AQ44" s="988"/>
      <c r="AR44" s="988"/>
      <c r="AS44" s="988"/>
      <c r="AT44" s="988"/>
      <c r="AU44" s="988"/>
      <c r="AV44" s="988"/>
      <c r="AW44" s="988"/>
    </row>
    <row r="45" spans="1:49" s="448" customFormat="1" ht="12.75" customHeight="1" x14ac:dyDescent="0.25">
      <c r="A45" s="449" t="s">
        <v>179</v>
      </c>
      <c r="B45" s="883" t="s">
        <v>180</v>
      </c>
      <c r="C45" s="883" t="s">
        <v>171</v>
      </c>
      <c r="D45" s="774"/>
      <c r="E45" s="989"/>
      <c r="F45" s="989"/>
      <c r="G45" s="989"/>
      <c r="H45" s="989"/>
      <c r="I45" s="989"/>
      <c r="J45" s="989"/>
      <c r="K45" s="989"/>
      <c r="L45" s="985"/>
      <c r="M45" s="1170">
        <v>-9.6999999999999993</v>
      </c>
      <c r="N45" s="1170">
        <v>-13.5</v>
      </c>
      <c r="O45" s="1170">
        <v>-13.4</v>
      </c>
      <c r="P45" s="1165"/>
      <c r="Q45" s="1165"/>
      <c r="R45" s="986"/>
      <c r="S45" s="986"/>
      <c r="T45" s="986"/>
      <c r="U45" s="993"/>
      <c r="V45" s="993"/>
      <c r="W45" s="993"/>
      <c r="X45" s="993"/>
      <c r="Y45" s="993"/>
      <c r="Z45" s="993"/>
      <c r="AA45" s="993"/>
      <c r="AB45" s="988"/>
      <c r="AC45" s="988"/>
      <c r="AD45" s="2478" t="s">
        <v>893</v>
      </c>
      <c r="AE45" s="2478"/>
      <c r="AF45" s="2478"/>
      <c r="AG45" s="2478"/>
      <c r="AH45" s="2478"/>
      <c r="AI45" s="2478"/>
      <c r="AJ45" s="2478"/>
      <c r="AK45" s="2478"/>
      <c r="AL45" s="2174"/>
      <c r="AM45" s="988"/>
      <c r="AN45" s="988"/>
      <c r="AO45" s="988"/>
      <c r="AP45" s="988"/>
      <c r="AQ45" s="988"/>
      <c r="AR45" s="988"/>
      <c r="AS45" s="988"/>
      <c r="AT45" s="988"/>
      <c r="AU45" s="988"/>
      <c r="AV45" s="988"/>
      <c r="AW45" s="988"/>
    </row>
    <row r="46" spans="1:49" s="448" customFormat="1" ht="12.75" customHeight="1" x14ac:dyDescent="0.25">
      <c r="A46" s="449" t="s">
        <v>179</v>
      </c>
      <c r="B46" s="884" t="s">
        <v>180</v>
      </c>
      <c r="C46" s="884" t="s">
        <v>172</v>
      </c>
      <c r="D46" s="774"/>
      <c r="E46" s="991"/>
      <c r="F46" s="991"/>
      <c r="G46" s="991"/>
      <c r="H46" s="991"/>
      <c r="I46" s="991"/>
      <c r="J46" s="991"/>
      <c r="K46" s="991"/>
      <c r="L46" s="992"/>
      <c r="M46" s="991">
        <f>SUM(M42:M45)</f>
        <v>-176.33210942104017</v>
      </c>
      <c r="N46" s="991">
        <f>SUM(N42:N45)</f>
        <v>-184.79</v>
      </c>
      <c r="O46" s="991">
        <f>SUM(O42:O45)</f>
        <v>-186.1</v>
      </c>
      <c r="P46" s="1166">
        <f>SUM(P42:P45)</f>
        <v>0</v>
      </c>
      <c r="Q46" s="1166">
        <f>SUM(Q42:Q45)</f>
        <v>0</v>
      </c>
      <c r="R46" s="986"/>
      <c r="S46" s="986"/>
      <c r="T46" s="986"/>
      <c r="U46" s="993"/>
      <c r="V46" s="993"/>
      <c r="W46" s="993"/>
      <c r="X46" s="993"/>
      <c r="Y46" s="993"/>
      <c r="Z46" s="993"/>
      <c r="AA46" s="993"/>
      <c r="AB46" s="988"/>
      <c r="AC46" s="988"/>
      <c r="AD46" s="2478"/>
      <c r="AE46" s="2478"/>
      <c r="AF46" s="2478"/>
      <c r="AG46" s="2478"/>
      <c r="AH46" s="2478"/>
      <c r="AI46" s="2478"/>
      <c r="AJ46" s="2478"/>
      <c r="AK46" s="2478"/>
      <c r="AL46" s="2174"/>
      <c r="AM46" s="988"/>
      <c r="AN46" s="988"/>
      <c r="AO46" s="988"/>
      <c r="AP46" s="988"/>
      <c r="AQ46" s="988"/>
      <c r="AR46" s="988"/>
      <c r="AS46" s="988"/>
      <c r="AT46" s="988"/>
      <c r="AU46" s="988"/>
      <c r="AV46" s="988"/>
      <c r="AW46" s="988"/>
    </row>
    <row r="47" spans="1:49" s="448" customFormat="1" ht="29.45" customHeight="1" x14ac:dyDescent="0.2">
      <c r="U47" s="993"/>
      <c r="V47" s="993"/>
      <c r="W47" s="993"/>
      <c r="X47" s="993"/>
      <c r="Y47" s="993"/>
      <c r="Z47" s="993"/>
      <c r="AA47" s="993"/>
      <c r="AB47" s="988"/>
      <c r="AC47" s="988"/>
      <c r="AD47" s="2478"/>
      <c r="AE47" s="2478"/>
      <c r="AF47" s="2478"/>
      <c r="AG47" s="2478"/>
      <c r="AH47" s="2478"/>
      <c r="AI47" s="2478"/>
      <c r="AJ47" s="2478"/>
      <c r="AK47" s="2478"/>
      <c r="AL47" s="2174"/>
      <c r="AM47" s="988"/>
      <c r="AN47" s="988"/>
      <c r="AO47" s="988"/>
      <c r="AP47" s="988"/>
      <c r="AQ47" s="988"/>
      <c r="AR47" s="988"/>
      <c r="AS47" s="988"/>
      <c r="AT47" s="988"/>
      <c r="AU47" s="988"/>
      <c r="AV47" s="988"/>
      <c r="AW47" s="988"/>
    </row>
    <row r="48" spans="1:49" s="448" customFormat="1" ht="12.75" customHeight="1" x14ac:dyDescent="0.2">
      <c r="B48" s="1167" t="s">
        <v>181</v>
      </c>
      <c r="C48" s="1167"/>
      <c r="E48" s="1167"/>
      <c r="F48" s="1167"/>
      <c r="G48" s="1167"/>
      <c r="H48" s="1167"/>
      <c r="I48" s="1167"/>
      <c r="J48" s="1167"/>
      <c r="K48" s="1167"/>
      <c r="M48" s="1167">
        <f>M36-M42</f>
        <v>-1.9773223615464994</v>
      </c>
      <c r="N48" s="1167">
        <f t="shared" ref="N48:O48" si="78">N36-N42</f>
        <v>0</v>
      </c>
      <c r="O48" s="1167">
        <f t="shared" si="78"/>
        <v>0</v>
      </c>
      <c r="P48" s="1168"/>
      <c r="Q48" s="1168"/>
      <c r="U48" s="993"/>
      <c r="V48" s="993"/>
      <c r="W48" s="993"/>
      <c r="X48" s="993"/>
      <c r="Y48" s="993"/>
      <c r="Z48" s="993"/>
      <c r="AA48" s="993"/>
      <c r="AB48" s="988"/>
      <c r="AC48" s="988"/>
      <c r="AD48" s="2184"/>
      <c r="AE48" s="2184"/>
      <c r="AF48" s="2184"/>
      <c r="AG48" s="2184"/>
      <c r="AH48" s="2184"/>
      <c r="AI48" s="2184"/>
      <c r="AJ48" s="2184"/>
      <c r="AK48" s="2184"/>
      <c r="AL48" s="2174"/>
      <c r="AM48" s="988"/>
      <c r="AN48" s="988"/>
      <c r="AO48" s="988"/>
      <c r="AP48" s="988"/>
      <c r="AQ48" s="988"/>
      <c r="AR48" s="988"/>
      <c r="AS48" s="988"/>
      <c r="AT48" s="988"/>
      <c r="AU48" s="988"/>
      <c r="AV48" s="988"/>
      <c r="AW48" s="988"/>
    </row>
    <row r="49" spans="2:49" s="448" customFormat="1" ht="12.75" customHeight="1" x14ac:dyDescent="0.2">
      <c r="B49" s="1167" t="s">
        <v>181</v>
      </c>
      <c r="C49" s="1167"/>
      <c r="E49" s="1167"/>
      <c r="F49" s="1167"/>
      <c r="G49" s="1167"/>
      <c r="H49" s="1167"/>
      <c r="I49" s="1167"/>
      <c r="J49" s="1167"/>
      <c r="K49" s="1167"/>
      <c r="M49" s="1167">
        <f t="shared" ref="M49:M52" si="79">M37-M43</f>
        <v>14.220303748708329</v>
      </c>
      <c r="N49" s="1167">
        <f t="shared" ref="N49:O49" si="80">N37-N43</f>
        <v>14.2</v>
      </c>
      <c r="O49" s="1167">
        <f t="shared" si="80"/>
        <v>14.2</v>
      </c>
      <c r="P49" s="1168"/>
      <c r="Q49" s="1168"/>
      <c r="U49" s="993"/>
      <c r="V49" s="993"/>
      <c r="W49" s="993"/>
      <c r="X49" s="993"/>
      <c r="Y49" s="993"/>
      <c r="Z49" s="993"/>
      <c r="AA49" s="993"/>
      <c r="AB49" s="988"/>
      <c r="AC49" s="988"/>
      <c r="AD49" s="2184"/>
      <c r="AE49" s="2184"/>
      <c r="AF49" s="2184"/>
      <c r="AG49" s="2184"/>
      <c r="AH49" s="2184"/>
      <c r="AI49" s="2184"/>
      <c r="AJ49" s="2184"/>
      <c r="AK49" s="2184"/>
      <c r="AL49" s="2174"/>
      <c r="AM49" s="988"/>
      <c r="AN49" s="988"/>
      <c r="AO49" s="988"/>
      <c r="AP49" s="988"/>
      <c r="AQ49" s="988"/>
      <c r="AR49" s="988"/>
      <c r="AS49" s="988"/>
      <c r="AT49" s="988"/>
      <c r="AU49" s="988"/>
      <c r="AV49" s="988"/>
      <c r="AW49" s="988"/>
    </row>
    <row r="50" spans="2:49" s="448" customFormat="1" ht="12.75" customHeight="1" x14ac:dyDescent="0.2">
      <c r="B50" s="1167" t="s">
        <v>181</v>
      </c>
      <c r="C50" s="1167"/>
      <c r="E50" s="1167"/>
      <c r="F50" s="1167"/>
      <c r="G50" s="1167"/>
      <c r="H50" s="1167"/>
      <c r="I50" s="1167"/>
      <c r="J50" s="1167"/>
      <c r="K50" s="1167"/>
      <c r="M50" s="1167">
        <f t="shared" si="79"/>
        <v>-23.910871966121647</v>
      </c>
      <c r="N50" s="1167">
        <f t="shared" ref="N50:O50" si="81">N38-N44</f>
        <v>-14.199999999999989</v>
      </c>
      <c r="O50" s="1167">
        <f t="shared" si="81"/>
        <v>-14.199999999999989</v>
      </c>
      <c r="P50" s="1168"/>
      <c r="Q50" s="1168"/>
      <c r="U50" s="993"/>
      <c r="V50" s="993"/>
      <c r="W50" s="993"/>
      <c r="X50" s="993"/>
      <c r="Y50" s="993"/>
      <c r="Z50" s="993"/>
      <c r="AA50" s="993"/>
      <c r="AB50" s="988"/>
      <c r="AC50" s="988"/>
      <c r="AD50" s="988"/>
      <c r="AE50" s="988"/>
      <c r="AF50" s="988"/>
      <c r="AG50" s="988"/>
      <c r="AH50" s="988"/>
      <c r="AI50" s="988"/>
      <c r="AJ50" s="988"/>
      <c r="AK50" s="988"/>
      <c r="AL50" s="988"/>
      <c r="AM50" s="988"/>
      <c r="AN50" s="988"/>
      <c r="AO50" s="988"/>
      <c r="AP50" s="988"/>
      <c r="AQ50" s="988"/>
      <c r="AR50" s="988"/>
      <c r="AS50" s="988"/>
      <c r="AT50" s="988"/>
      <c r="AU50" s="988"/>
      <c r="AV50" s="988"/>
      <c r="AW50" s="988"/>
    </row>
    <row r="51" spans="2:49" s="448" customFormat="1" ht="12.75" customHeight="1" x14ac:dyDescent="0.2">
      <c r="B51" s="1167" t="s">
        <v>181</v>
      </c>
      <c r="C51" s="1167"/>
      <c r="E51" s="1167"/>
      <c r="F51" s="1167"/>
      <c r="G51" s="1167"/>
      <c r="H51" s="1167"/>
      <c r="I51" s="1167"/>
      <c r="J51" s="1167"/>
      <c r="K51" s="1167"/>
      <c r="M51" s="1167">
        <f t="shared" si="79"/>
        <v>0</v>
      </c>
      <c r="N51" s="1167">
        <f t="shared" ref="N51:O51" si="82">N39-N45</f>
        <v>0</v>
      </c>
      <c r="O51" s="1167">
        <f t="shared" si="82"/>
        <v>0</v>
      </c>
      <c r="P51" s="1168"/>
      <c r="Q51" s="1168"/>
      <c r="U51" s="993"/>
      <c r="V51" s="993"/>
      <c r="W51" s="993"/>
      <c r="X51" s="993"/>
      <c r="Y51" s="993"/>
      <c r="Z51" s="993"/>
      <c r="AA51" s="993"/>
      <c r="AB51" s="988"/>
      <c r="AC51" s="988"/>
      <c r="AD51" s="988"/>
      <c r="AE51" s="988"/>
      <c r="AF51" s="988"/>
      <c r="AG51" s="988"/>
      <c r="AH51" s="988"/>
      <c r="AI51" s="988"/>
      <c r="AJ51" s="988"/>
      <c r="AK51" s="988"/>
      <c r="AL51" s="988"/>
      <c r="AM51" s="988"/>
      <c r="AN51" s="988"/>
      <c r="AO51" s="988"/>
      <c r="AP51" s="988"/>
      <c r="AQ51" s="988"/>
      <c r="AR51" s="988"/>
      <c r="AS51" s="988"/>
      <c r="AT51" s="988"/>
      <c r="AU51" s="988"/>
      <c r="AV51" s="988"/>
      <c r="AW51" s="988"/>
    </row>
    <row r="52" spans="2:49" s="448" customFormat="1" ht="12.75" customHeight="1" x14ac:dyDescent="0.2">
      <c r="B52" s="1167" t="s">
        <v>181</v>
      </c>
      <c r="C52" s="1167"/>
      <c r="E52" s="1167"/>
      <c r="F52" s="1167"/>
      <c r="G52" s="1167"/>
      <c r="H52" s="1167"/>
      <c r="I52" s="1167"/>
      <c r="J52" s="1167"/>
      <c r="K52" s="1167"/>
      <c r="M52" s="1167">
        <f t="shared" si="79"/>
        <v>-11.667890578959828</v>
      </c>
      <c r="N52" s="1167">
        <f t="shared" ref="N52:O52" si="83">N40-N46</f>
        <v>0</v>
      </c>
      <c r="O52" s="1167">
        <f t="shared" si="83"/>
        <v>0</v>
      </c>
      <c r="P52" s="1168"/>
      <c r="Q52" s="1168"/>
      <c r="U52" s="993"/>
      <c r="V52" s="993"/>
      <c r="W52" s="993"/>
      <c r="X52" s="993"/>
      <c r="Y52" s="993"/>
      <c r="Z52" s="993"/>
      <c r="AA52" s="993"/>
      <c r="AB52" s="988"/>
      <c r="AC52" s="988"/>
      <c r="AD52" s="988"/>
      <c r="AE52" s="988"/>
      <c r="AF52" s="988"/>
      <c r="AG52" s="988"/>
      <c r="AH52" s="988"/>
      <c r="AI52" s="988"/>
      <c r="AJ52" s="988"/>
      <c r="AK52" s="988"/>
      <c r="AL52" s="988"/>
      <c r="AM52" s="988"/>
      <c r="AN52" s="988"/>
      <c r="AO52" s="988"/>
      <c r="AP52" s="988"/>
      <c r="AQ52" s="988"/>
      <c r="AR52" s="988"/>
      <c r="AS52" s="988"/>
      <c r="AT52" s="988"/>
      <c r="AU52" s="988"/>
      <c r="AV52" s="988"/>
      <c r="AW52" s="988"/>
    </row>
    <row r="53" spans="2:49" s="448" customFormat="1" ht="12.75" customHeight="1" x14ac:dyDescent="0.2">
      <c r="M53" s="988"/>
      <c r="N53" s="988"/>
      <c r="O53" s="988"/>
      <c r="P53" s="988"/>
      <c r="U53" s="993"/>
      <c r="V53" s="993"/>
      <c r="W53" s="993"/>
      <c r="X53" s="993"/>
      <c r="Y53" s="993"/>
      <c r="Z53" s="993"/>
      <c r="AA53" s="993"/>
      <c r="AB53" s="988"/>
      <c r="AC53" s="988"/>
      <c r="AD53" s="988"/>
      <c r="AE53" s="988"/>
      <c r="AF53" s="988"/>
      <c r="AG53" s="988"/>
      <c r="AH53" s="988"/>
      <c r="AI53" s="988"/>
      <c r="AJ53" s="988"/>
      <c r="AK53" s="988"/>
      <c r="AL53" s="988"/>
      <c r="AM53" s="988"/>
      <c r="AN53" s="988"/>
      <c r="AO53" s="988"/>
      <c r="AP53" s="988"/>
      <c r="AQ53" s="988"/>
      <c r="AR53" s="988"/>
      <c r="AS53" s="988"/>
      <c r="AT53" s="988"/>
      <c r="AU53" s="988"/>
      <c r="AV53" s="988"/>
      <c r="AW53" s="988"/>
    </row>
    <row r="54" spans="2:49" s="448" customFormat="1" ht="12.75" customHeight="1" x14ac:dyDescent="0.2">
      <c r="U54" s="993"/>
      <c r="V54" s="993"/>
      <c r="W54" s="993"/>
      <c r="X54" s="993"/>
      <c r="Y54" s="993"/>
      <c r="Z54" s="993"/>
      <c r="AA54" s="993"/>
      <c r="AB54" s="988"/>
      <c r="AC54" s="988"/>
      <c r="AD54" s="988"/>
      <c r="AE54" s="988"/>
      <c r="AF54" s="988"/>
      <c r="AG54" s="988"/>
      <c r="AH54" s="988"/>
      <c r="AI54" s="988"/>
      <c r="AJ54" s="988"/>
      <c r="AK54" s="988"/>
      <c r="AL54" s="988"/>
      <c r="AM54" s="988"/>
      <c r="AN54" s="988"/>
      <c r="AO54" s="988"/>
      <c r="AP54" s="988"/>
      <c r="AQ54" s="988"/>
      <c r="AR54" s="988"/>
      <c r="AS54" s="988"/>
      <c r="AT54" s="988"/>
      <c r="AU54" s="988"/>
      <c r="AV54" s="988"/>
      <c r="AW54" s="988"/>
    </row>
    <row r="55" spans="2:49" s="448" customFormat="1" ht="12.75" customHeight="1" x14ac:dyDescent="0.25">
      <c r="C55" s="433"/>
      <c r="D55" s="774"/>
      <c r="E55" s="993"/>
      <c r="F55" s="993"/>
      <c r="G55" s="993"/>
      <c r="H55" s="993"/>
      <c r="I55" s="993"/>
      <c r="J55" s="993"/>
      <c r="K55" s="993"/>
      <c r="L55" s="993"/>
      <c r="M55" s="993"/>
      <c r="N55" s="993"/>
      <c r="O55" s="993"/>
      <c r="P55" s="993"/>
      <c r="Q55" s="993"/>
      <c r="R55" s="993"/>
      <c r="S55" s="993"/>
      <c r="T55" s="993"/>
      <c r="U55" s="993"/>
      <c r="V55" s="993"/>
      <c r="W55" s="993"/>
      <c r="X55" s="993"/>
      <c r="Y55" s="993"/>
      <c r="Z55" s="993"/>
      <c r="AA55" s="993"/>
      <c r="AB55" s="988"/>
      <c r="AC55" s="988"/>
      <c r="AD55" s="988"/>
      <c r="AE55" s="988"/>
      <c r="AF55" s="988"/>
      <c r="AG55" s="988"/>
      <c r="AH55" s="988"/>
      <c r="AI55" s="988"/>
      <c r="AJ55" s="988"/>
      <c r="AK55" s="988"/>
      <c r="AL55" s="988"/>
      <c r="AM55" s="988"/>
      <c r="AN55" s="988"/>
      <c r="AO55" s="988"/>
      <c r="AP55" s="988"/>
      <c r="AQ55" s="988"/>
      <c r="AR55" s="988"/>
      <c r="AS55" s="988"/>
      <c r="AT55" s="988"/>
      <c r="AU55" s="988"/>
      <c r="AV55" s="988"/>
      <c r="AW55" s="988"/>
    </row>
    <row r="56" spans="2:49" s="448" customFormat="1" ht="12.75" customHeight="1" x14ac:dyDescent="0.25">
      <c r="C56" s="433"/>
      <c r="D56" s="774"/>
      <c r="E56" s="993"/>
      <c r="F56" s="993"/>
      <c r="G56" s="993"/>
      <c r="H56" s="993"/>
      <c r="I56" s="993"/>
      <c r="J56" s="993"/>
      <c r="K56" s="993"/>
      <c r="L56" s="993"/>
      <c r="M56" s="993"/>
      <c r="N56" s="993"/>
      <c r="O56" s="993"/>
      <c r="P56" s="993"/>
      <c r="Q56" s="993"/>
      <c r="R56" s="993"/>
      <c r="S56" s="993"/>
      <c r="T56" s="993"/>
      <c r="U56" s="993"/>
      <c r="V56" s="993"/>
      <c r="W56" s="993"/>
      <c r="X56" s="993"/>
      <c r="Y56" s="993"/>
      <c r="Z56" s="993"/>
      <c r="AA56" s="993"/>
      <c r="AB56" s="988"/>
      <c r="AC56" s="988"/>
      <c r="AD56" s="988"/>
      <c r="AE56" s="988"/>
      <c r="AF56" s="988"/>
      <c r="AG56" s="988"/>
      <c r="AH56" s="988"/>
      <c r="AI56" s="988"/>
      <c r="AJ56" s="988"/>
      <c r="AK56" s="988"/>
      <c r="AL56" s="988"/>
      <c r="AM56" s="988"/>
      <c r="AN56" s="988"/>
      <c r="AO56" s="988"/>
      <c r="AP56" s="988"/>
      <c r="AQ56" s="988"/>
      <c r="AR56" s="988"/>
      <c r="AS56" s="988"/>
      <c r="AT56" s="988"/>
      <c r="AU56" s="988"/>
      <c r="AV56" s="988"/>
      <c r="AW56" s="988"/>
    </row>
    <row r="57" spans="2:49" s="448" customFormat="1" ht="12.75" customHeight="1" x14ac:dyDescent="0.25">
      <c r="C57" s="433"/>
      <c r="D57" s="774"/>
      <c r="E57" s="993"/>
      <c r="F57" s="993"/>
      <c r="G57" s="993"/>
      <c r="H57" s="993"/>
      <c r="I57" s="993"/>
      <c r="J57" s="993"/>
      <c r="K57" s="993"/>
      <c r="L57" s="993"/>
      <c r="M57" s="993"/>
      <c r="N57" s="993"/>
      <c r="O57" s="993"/>
      <c r="P57" s="993"/>
      <c r="Q57" s="993"/>
      <c r="R57" s="993"/>
      <c r="S57" s="993"/>
      <c r="T57" s="993"/>
      <c r="U57" s="993"/>
      <c r="V57" s="993"/>
      <c r="W57" s="993"/>
      <c r="X57" s="993"/>
      <c r="Y57" s="993"/>
      <c r="Z57" s="993"/>
      <c r="AA57" s="993"/>
      <c r="AB57" s="988"/>
      <c r="AC57" s="988"/>
      <c r="AD57" s="988"/>
      <c r="AE57" s="988"/>
      <c r="AF57" s="988"/>
      <c r="AG57" s="988"/>
      <c r="AH57" s="988"/>
      <c r="AI57" s="988"/>
      <c r="AJ57" s="988"/>
      <c r="AK57" s="988"/>
      <c r="AL57" s="988"/>
      <c r="AM57" s="988"/>
      <c r="AN57" s="988"/>
      <c r="AO57" s="988"/>
      <c r="AP57" s="988"/>
      <c r="AQ57" s="988"/>
      <c r="AR57" s="988"/>
      <c r="AS57" s="988"/>
      <c r="AT57" s="988"/>
      <c r="AU57" s="988"/>
      <c r="AV57" s="988"/>
      <c r="AW57" s="988"/>
    </row>
    <row r="58" spans="2:49" s="448" customFormat="1" ht="12.75" customHeight="1" x14ac:dyDescent="0.25">
      <c r="C58" s="433"/>
      <c r="D58" s="774"/>
      <c r="E58" s="993"/>
      <c r="F58" s="993"/>
      <c r="G58" s="993"/>
      <c r="H58" s="993"/>
      <c r="I58" s="993"/>
      <c r="J58" s="993"/>
      <c r="K58" s="993"/>
      <c r="L58" s="993"/>
      <c r="M58" s="993"/>
      <c r="N58" s="993"/>
      <c r="O58" s="993"/>
      <c r="P58" s="993"/>
      <c r="Q58" s="993"/>
      <c r="R58" s="993"/>
      <c r="S58" s="993"/>
      <c r="T58" s="993"/>
      <c r="U58" s="993"/>
      <c r="V58" s="993"/>
      <c r="W58" s="993"/>
      <c r="X58" s="993"/>
      <c r="Y58" s="993"/>
      <c r="Z58" s="993"/>
      <c r="AA58" s="993"/>
      <c r="AB58" s="988"/>
      <c r="AC58" s="988"/>
      <c r="AD58" s="988"/>
      <c r="AE58" s="988"/>
      <c r="AF58" s="988"/>
      <c r="AG58" s="988"/>
      <c r="AH58" s="988"/>
      <c r="AI58" s="988"/>
      <c r="AJ58" s="988"/>
      <c r="AK58" s="988"/>
      <c r="AL58" s="988"/>
      <c r="AM58" s="988"/>
      <c r="AN58" s="988"/>
      <c r="AO58" s="988"/>
      <c r="AP58" s="988"/>
      <c r="AQ58" s="988"/>
      <c r="AR58" s="988"/>
      <c r="AS58" s="988"/>
      <c r="AT58" s="988"/>
      <c r="AU58" s="988"/>
      <c r="AV58" s="988"/>
      <c r="AW58" s="988"/>
    </row>
    <row r="59" spans="2:49" s="448" customFormat="1" ht="12.75" customHeight="1" x14ac:dyDescent="0.25">
      <c r="C59" s="433"/>
      <c r="D59" s="774"/>
      <c r="E59" s="993"/>
      <c r="F59" s="993"/>
      <c r="G59" s="993"/>
      <c r="H59" s="993"/>
      <c r="I59" s="993"/>
      <c r="J59" s="993"/>
      <c r="K59" s="993"/>
      <c r="L59" s="993"/>
      <c r="M59" s="993"/>
      <c r="N59" s="993"/>
      <c r="O59" s="993"/>
      <c r="P59" s="993"/>
      <c r="Q59" s="993"/>
      <c r="R59" s="993"/>
      <c r="S59" s="993"/>
      <c r="T59" s="993"/>
      <c r="U59" s="993"/>
      <c r="V59" s="993"/>
      <c r="W59" s="993"/>
      <c r="X59" s="993"/>
      <c r="Y59" s="993"/>
      <c r="Z59" s="993"/>
      <c r="AA59" s="993"/>
      <c r="AB59" s="988"/>
      <c r="AC59" s="988"/>
      <c r="AD59" s="988"/>
      <c r="AE59" s="988"/>
      <c r="AF59" s="988"/>
      <c r="AG59" s="988"/>
      <c r="AH59" s="988"/>
      <c r="AI59" s="988"/>
      <c r="AJ59" s="988"/>
      <c r="AK59" s="988"/>
      <c r="AL59" s="988"/>
      <c r="AM59" s="988"/>
      <c r="AN59" s="988"/>
      <c r="AO59" s="988"/>
      <c r="AP59" s="988"/>
      <c r="AQ59" s="988"/>
      <c r="AR59" s="988"/>
      <c r="AS59" s="988"/>
      <c r="AT59" s="988"/>
      <c r="AU59" s="988"/>
      <c r="AV59" s="988"/>
      <c r="AW59" s="988"/>
    </row>
    <row r="60" spans="2:49" s="448" customFormat="1" ht="12.75" customHeight="1" x14ac:dyDescent="0.2">
      <c r="U60" s="993"/>
      <c r="V60" s="993"/>
      <c r="W60" s="993"/>
      <c r="X60" s="993"/>
      <c r="Y60" s="993"/>
      <c r="Z60" s="993"/>
      <c r="AA60" s="993"/>
      <c r="AB60" s="988"/>
      <c r="AC60" s="988"/>
      <c r="AD60" s="988"/>
      <c r="AE60" s="988"/>
      <c r="AF60" s="988"/>
      <c r="AG60" s="988"/>
      <c r="AH60" s="988"/>
      <c r="AI60" s="988"/>
      <c r="AJ60" s="988"/>
      <c r="AK60" s="988"/>
      <c r="AL60" s="988"/>
      <c r="AM60" s="988"/>
      <c r="AN60" s="988"/>
      <c r="AO60" s="988"/>
      <c r="AP60" s="988"/>
      <c r="AQ60" s="988"/>
      <c r="AR60" s="988"/>
      <c r="AS60" s="988"/>
      <c r="AT60" s="988"/>
      <c r="AU60" s="988"/>
      <c r="AV60" s="988"/>
      <c r="AW60" s="988"/>
    </row>
    <row r="61" spans="2:49" s="448" customFormat="1" ht="12.75" customHeight="1" x14ac:dyDescent="0.2">
      <c r="U61" s="993"/>
      <c r="V61" s="993"/>
      <c r="W61" s="993"/>
      <c r="X61" s="993"/>
      <c r="Y61" s="993"/>
      <c r="Z61" s="993"/>
      <c r="AA61" s="993"/>
      <c r="AB61" s="988"/>
      <c r="AC61" s="988"/>
      <c r="AD61" s="988"/>
      <c r="AE61" s="988"/>
      <c r="AF61" s="988"/>
      <c r="AG61" s="988"/>
      <c r="AH61" s="988"/>
      <c r="AI61" s="988"/>
      <c r="AJ61" s="988"/>
      <c r="AK61" s="988"/>
      <c r="AL61" s="988"/>
      <c r="AM61" s="988"/>
      <c r="AN61" s="988"/>
      <c r="AO61" s="988"/>
      <c r="AP61" s="988"/>
      <c r="AQ61" s="988"/>
      <c r="AR61" s="988"/>
      <c r="AS61" s="988"/>
      <c r="AT61" s="988"/>
      <c r="AU61" s="988"/>
      <c r="AV61" s="988"/>
      <c r="AW61" s="988"/>
    </row>
    <row r="62" spans="2:49" s="448" customFormat="1" ht="12.75" customHeight="1" x14ac:dyDescent="0.2">
      <c r="U62" s="993"/>
      <c r="V62" s="993"/>
      <c r="W62" s="993"/>
      <c r="X62" s="993"/>
      <c r="Y62" s="993"/>
      <c r="Z62" s="993"/>
      <c r="AA62" s="993"/>
      <c r="AB62" s="988"/>
      <c r="AC62" s="988"/>
      <c r="AD62" s="988"/>
      <c r="AE62" s="988"/>
      <c r="AF62" s="988"/>
      <c r="AG62" s="988"/>
      <c r="AH62" s="988"/>
      <c r="AI62" s="988"/>
      <c r="AJ62" s="988"/>
      <c r="AK62" s="988"/>
      <c r="AL62" s="988"/>
      <c r="AM62" s="988"/>
      <c r="AN62" s="988"/>
      <c r="AO62" s="988"/>
      <c r="AP62" s="988"/>
      <c r="AQ62" s="988"/>
      <c r="AR62" s="988"/>
      <c r="AS62" s="988"/>
      <c r="AT62" s="988"/>
      <c r="AU62" s="988"/>
      <c r="AV62" s="988"/>
      <c r="AW62" s="988"/>
    </row>
    <row r="63" spans="2:49" s="448" customFormat="1" ht="12.75" customHeight="1" x14ac:dyDescent="0.2">
      <c r="U63" s="993"/>
      <c r="V63" s="993"/>
      <c r="W63" s="993"/>
      <c r="X63" s="993"/>
      <c r="Y63" s="993"/>
      <c r="Z63" s="993"/>
      <c r="AA63" s="993"/>
      <c r="AB63" s="988"/>
      <c r="AC63" s="988"/>
      <c r="AD63" s="988"/>
      <c r="AE63" s="988"/>
      <c r="AF63" s="988"/>
      <c r="AG63" s="988"/>
      <c r="AH63" s="988"/>
      <c r="AI63" s="988"/>
      <c r="AJ63" s="988"/>
      <c r="AK63" s="988"/>
      <c r="AL63" s="988"/>
      <c r="AM63" s="988"/>
      <c r="AN63" s="988"/>
      <c r="AO63" s="988"/>
      <c r="AP63" s="988"/>
      <c r="AQ63" s="988"/>
      <c r="AR63" s="988"/>
      <c r="AS63" s="988"/>
      <c r="AT63" s="988"/>
      <c r="AU63" s="988"/>
      <c r="AV63" s="988"/>
      <c r="AW63" s="988"/>
    </row>
    <row r="64" spans="2:49" s="448" customFormat="1" ht="12.75" customHeight="1" x14ac:dyDescent="0.2">
      <c r="U64" s="993"/>
      <c r="V64" s="993"/>
      <c r="W64" s="993"/>
      <c r="X64" s="993"/>
      <c r="Y64" s="993"/>
      <c r="Z64" s="993"/>
      <c r="AA64" s="993"/>
      <c r="AB64" s="988"/>
      <c r="AC64" s="988"/>
      <c r="AD64" s="988"/>
      <c r="AE64" s="988"/>
      <c r="AF64" s="988"/>
      <c r="AG64" s="988"/>
      <c r="AH64" s="988"/>
      <c r="AI64" s="988"/>
      <c r="AJ64" s="988"/>
      <c r="AK64" s="988"/>
      <c r="AL64" s="988"/>
      <c r="AM64" s="988"/>
      <c r="AN64" s="988"/>
      <c r="AO64" s="988"/>
      <c r="AP64" s="988"/>
      <c r="AQ64" s="988"/>
      <c r="AR64" s="988"/>
      <c r="AS64" s="988"/>
      <c r="AT64" s="988"/>
      <c r="AU64" s="988"/>
      <c r="AV64" s="988"/>
      <c r="AW64" s="988"/>
    </row>
    <row r="65" spans="21:49" s="448" customFormat="1" ht="12.75" customHeight="1" x14ac:dyDescent="0.2">
      <c r="U65" s="993"/>
      <c r="V65" s="993"/>
      <c r="W65" s="993"/>
      <c r="X65" s="993"/>
      <c r="Y65" s="993"/>
      <c r="Z65" s="993"/>
      <c r="AA65" s="993"/>
      <c r="AB65" s="988"/>
      <c r="AC65" s="988"/>
      <c r="AD65" s="988"/>
      <c r="AE65" s="988"/>
      <c r="AF65" s="988"/>
      <c r="AG65" s="988"/>
      <c r="AH65" s="988"/>
      <c r="AI65" s="988"/>
      <c r="AJ65" s="988"/>
      <c r="AK65" s="988"/>
      <c r="AL65" s="988"/>
      <c r="AM65" s="988"/>
      <c r="AN65" s="988"/>
      <c r="AO65" s="988"/>
      <c r="AP65" s="988"/>
      <c r="AQ65" s="988"/>
      <c r="AR65" s="988"/>
      <c r="AS65" s="988"/>
      <c r="AT65" s="988"/>
      <c r="AU65" s="988"/>
      <c r="AV65" s="988"/>
      <c r="AW65" s="988"/>
    </row>
    <row r="66" spans="21:49" x14ac:dyDescent="0.25">
      <c r="U66" s="994"/>
      <c r="V66" s="994"/>
      <c r="W66" s="994"/>
      <c r="X66" s="994"/>
      <c r="Y66" s="994"/>
      <c r="Z66" s="994"/>
      <c r="AA66" s="994"/>
      <c r="AB66" s="994"/>
      <c r="AC66" s="994"/>
      <c r="AD66" s="988"/>
      <c r="AE66" s="988"/>
      <c r="AF66" s="988"/>
      <c r="AG66" s="988"/>
      <c r="AH66" s="988"/>
      <c r="AI66" s="988"/>
      <c r="AJ66" s="988"/>
      <c r="AK66" s="988"/>
      <c r="AL66" s="994"/>
      <c r="AM66" s="994"/>
      <c r="AN66" s="994"/>
      <c r="AO66" s="994"/>
      <c r="AP66" s="994"/>
      <c r="AQ66" s="994"/>
      <c r="AR66" s="994"/>
      <c r="AS66" s="994"/>
      <c r="AT66" s="994"/>
      <c r="AU66" s="994"/>
      <c r="AV66" s="994"/>
      <c r="AW66" s="994"/>
    </row>
    <row r="67" spans="21:49" x14ac:dyDescent="0.25">
      <c r="AD67" s="994"/>
      <c r="AE67" s="994"/>
      <c r="AF67" s="994"/>
      <c r="AG67" s="994"/>
      <c r="AH67" s="994"/>
      <c r="AI67" s="994"/>
      <c r="AJ67" s="994"/>
      <c r="AK67" s="994"/>
    </row>
  </sheetData>
  <mergeCells count="2">
    <mergeCell ref="AD26:AK30"/>
    <mergeCell ref="AD45:AK47"/>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5DB8A-9C80-4112-A28F-09815E7F72A5}">
  <sheetPr>
    <tabColor theme="5" tint="-0.249977111117893"/>
  </sheetPr>
  <dimension ref="A1"/>
  <sheetViews>
    <sheetView workbookViewId="0"/>
    <sheetView workbookViewId="1"/>
  </sheetViews>
  <sheetFormatPr defaultColWidth="9.140625" defaultRowHeight="15" x14ac:dyDescent="0.25"/>
  <cols>
    <col min="1" max="16384" width="9.140625" style="774"/>
  </cols>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9B08B-F006-48B1-80A2-AC529DD37636}">
  <sheetPr>
    <tabColor theme="5" tint="-0.249977111117893"/>
    <outlinePr showOutlineSymbols="0"/>
  </sheetPr>
  <dimension ref="A1:XEY441"/>
  <sheetViews>
    <sheetView showGridLines="0" topLeftCell="GM109" zoomScale="115" zoomScaleNormal="115" workbookViewId="0"/>
    <sheetView showGridLines="0" topLeftCell="GO231" workbookViewId="1">
      <selection activeCell="HJ60" sqref="HJ60"/>
    </sheetView>
  </sheetViews>
  <sheetFormatPr defaultColWidth="9.140625" defaultRowHeight="11.25" outlineLevelRow="3" outlineLevelCol="4" x14ac:dyDescent="0.2"/>
  <cols>
    <col min="1" max="1" width="22.140625" style="242" customWidth="1"/>
    <col min="2" max="2" width="4.42578125" style="242" bestFit="1" customWidth="1"/>
    <col min="3" max="3" width="1.42578125" style="242" customWidth="1"/>
    <col min="4" max="4" width="43.5703125" style="242" customWidth="1"/>
    <col min="5" max="5" width="7.28515625" style="243" customWidth="1"/>
    <col min="6" max="6" width="1.5703125" style="242" customWidth="1" outlineLevel="1"/>
    <col min="7" max="7" width="6.85546875" style="242" customWidth="1" outlineLevel="1"/>
    <col min="8" max="18" width="6" style="242" customWidth="1" outlineLevel="1"/>
    <col min="19" max="19" width="1.5703125" style="242" customWidth="1" outlineLevel="1"/>
    <col min="20" max="22" width="6" style="244" customWidth="1"/>
    <col min="23" max="23" width="6.42578125" style="244" customWidth="1"/>
    <col min="24" max="26" width="6" style="244" customWidth="1"/>
    <col min="27" max="27" width="6.7109375" style="244" customWidth="1"/>
    <col min="28" max="31" width="6" style="244" customWidth="1"/>
    <col min="32" max="33" width="3.140625" style="242" customWidth="1"/>
    <col min="34" max="45" width="5.28515625" style="242" customWidth="1"/>
    <col min="46" max="47" width="3.140625" style="242" customWidth="1"/>
    <col min="48" max="48" width="34.85546875" style="242" customWidth="1"/>
    <col min="49" max="49" width="4.42578125" style="242" bestFit="1" customWidth="1"/>
    <col min="50" max="51" width="9.28515625" style="242" customWidth="1"/>
    <col min="52" max="53" width="9.28515625" style="242" customWidth="1" outlineLevel="4"/>
    <col min="54" max="55" width="9.28515625" style="242" customWidth="1"/>
    <col min="56" max="56" width="3.140625" style="242" customWidth="1"/>
    <col min="57" max="57" width="37" style="242" customWidth="1"/>
    <col min="58" max="58" width="4.42578125" style="242" bestFit="1" customWidth="1"/>
    <col min="59" max="60" width="9.28515625" style="242" customWidth="1"/>
    <col min="61" max="62" width="9.28515625" style="242" customWidth="1" outlineLevel="4"/>
    <col min="63" max="64" width="9.28515625" style="242" customWidth="1"/>
    <col min="65" max="65" width="3.140625" style="242" customWidth="1"/>
    <col min="66" max="66" width="5.7109375" style="242" customWidth="1"/>
    <col min="67" max="67" width="3.140625" style="242" customWidth="1"/>
    <col min="68" max="68" width="29.140625" style="242" customWidth="1"/>
    <col min="69" max="69" width="6.85546875" style="244" bestFit="1" customWidth="1"/>
    <col min="70" max="77" width="6.85546875" style="242" bestFit="1" customWidth="1"/>
    <col min="78" max="79" width="5.5703125" style="242" bestFit="1" customWidth="1"/>
    <col min="80" max="80" width="5.28515625" style="242" bestFit="1" customWidth="1"/>
    <col min="81" max="81" width="3.140625" style="242" customWidth="1"/>
    <col min="82" max="82" width="2.85546875" style="242" customWidth="1"/>
    <col min="83" max="83" width="3.5703125" style="244" customWidth="1" outlineLevel="1"/>
    <col min="84" max="84" width="5.140625" style="244" customWidth="1" outlineLevel="1"/>
    <col min="85" max="86" width="3.140625" style="244" customWidth="1"/>
    <col min="87" max="87" width="23.140625" style="244" customWidth="1"/>
    <col min="88" max="88" width="21.7109375" style="242" customWidth="1"/>
    <col min="89" max="100" width="7.42578125" style="244" customWidth="1"/>
    <col min="101" max="101" width="3.42578125" style="244" customWidth="1"/>
    <col min="102" max="107" width="5.7109375" style="244" customWidth="1"/>
    <col min="108" max="109" width="7.42578125" style="244" bestFit="1" customWidth="1"/>
    <col min="110" max="113" width="3.42578125" style="244" customWidth="1"/>
    <col min="114" max="114" width="4.28515625" style="242" customWidth="1" collapsed="1"/>
    <col min="115" max="115" width="26.5703125" style="242" customWidth="1" outlineLevel="3"/>
    <col min="116" max="116" width="6.85546875" style="242" customWidth="1" outlineLevel="3"/>
    <col min="117" max="127" width="5.7109375" style="242" customWidth="1" outlineLevel="3"/>
    <col min="128" max="128" width="3.7109375" style="242" customWidth="1"/>
    <col min="129" max="129" width="37.5703125" style="242" customWidth="1"/>
    <col min="130" max="130" width="39.85546875" style="242" hidden="1" customWidth="1"/>
    <col min="131" max="136" width="9.28515625" style="242" customWidth="1"/>
    <col min="137" max="137" width="3.7109375" style="242" customWidth="1"/>
    <col min="138" max="139" width="5.85546875" style="242" customWidth="1"/>
    <col min="140" max="140" width="3.7109375" style="242" customWidth="1"/>
    <col min="141" max="141" width="36.5703125" style="242" customWidth="1"/>
    <col min="142" max="142" width="9.140625" style="242" customWidth="1"/>
    <col min="143" max="148" width="9.28515625" style="242" customWidth="1"/>
    <col min="149" max="149" width="3.7109375" style="242" customWidth="1"/>
    <col min="150" max="150" width="4.7109375" style="242" customWidth="1"/>
    <col min="151" max="151" width="12.140625" style="242" customWidth="1"/>
    <col min="152" max="152" width="4" style="242" customWidth="1"/>
    <col min="153" max="153" width="53" style="242" customWidth="1"/>
    <col min="154" max="155" width="8.28515625" style="242" customWidth="1"/>
    <col min="156" max="157" width="10.7109375" style="242" customWidth="1"/>
    <col min="158" max="158" width="13.28515625" style="242" customWidth="1"/>
    <col min="159" max="159" width="8.28515625" style="242" customWidth="1"/>
    <col min="160" max="160" width="1.5703125" style="242" customWidth="1"/>
    <col min="161" max="161" width="1.42578125" style="242" customWidth="1"/>
    <col min="162" max="162" width="49" style="242" customWidth="1" outlineLevel="1"/>
    <col min="163" max="168" width="9.28515625" style="242" customWidth="1" outlineLevel="1"/>
    <col min="169" max="169" width="2.140625" style="242" customWidth="1"/>
    <col min="170" max="170" width="48.28515625" style="242" customWidth="1"/>
    <col min="171" max="171" width="0.85546875" style="242" hidden="1" customWidth="1"/>
    <col min="172" max="175" width="7.85546875" style="242" hidden="1" customWidth="1"/>
    <col min="176" max="176" width="12.28515625" style="242" hidden="1" customWidth="1" outlineLevel="3"/>
    <col min="177" max="177" width="7.28515625" style="242" hidden="1" customWidth="1" outlineLevel="3"/>
    <col min="178" max="178" width="0.85546875" style="242" customWidth="1" collapsed="1"/>
    <col min="179" max="182" width="7.85546875" style="242" customWidth="1"/>
    <col min="183" max="183" width="12.28515625" style="242" customWidth="1" outlineLevel="2"/>
    <col min="184" max="184" width="7.28515625" style="242" customWidth="1" outlineLevel="2"/>
    <col min="185" max="185" width="3" style="242" customWidth="1"/>
    <col min="186" max="186" width="49" style="242" customWidth="1" outlineLevel="1"/>
    <col min="187" max="187" width="0.7109375" style="242" customWidth="1" outlineLevel="1"/>
    <col min="188" max="191" width="8.7109375" style="242" customWidth="1" outlineLevel="1"/>
    <col min="192" max="193" width="8.7109375" style="242" hidden="1" customWidth="1" outlineLevel="2"/>
    <col min="194" max="194" width="0.7109375" style="242" customWidth="1" outlineLevel="1" collapsed="1"/>
    <col min="195" max="198" width="8.7109375" style="242" customWidth="1" outlineLevel="1"/>
    <col min="199" max="200" width="8.7109375" style="242" hidden="1" customWidth="1" outlineLevel="1"/>
    <col min="201" max="201" width="8.140625" style="242" customWidth="1"/>
    <col min="202" max="202" width="12" style="242" customWidth="1"/>
    <col min="203" max="203" width="29" style="242" customWidth="1"/>
    <col min="204" max="204" width="1.28515625" style="242" customWidth="1" outlineLevel="1"/>
    <col min="205" max="205" width="7" style="244" customWidth="1" outlineLevel="2"/>
    <col min="206" max="207" width="7.5703125" style="244" customWidth="1" outlineLevel="2"/>
    <col min="208" max="214" width="7.5703125" style="244" customWidth="1" outlineLevel="1"/>
    <col min="215" max="216" width="7.140625" style="244" customWidth="1" outlineLevel="1"/>
    <col min="217" max="217" width="1.28515625" style="242" customWidth="1" outlineLevel="1"/>
    <col min="218" max="219" width="7.140625" style="242" customWidth="1"/>
    <col min="220" max="220" width="9.42578125" style="242" customWidth="1"/>
    <col min="221" max="221" width="8" style="242" customWidth="1"/>
    <col min="222" max="222" width="9.42578125" style="242" customWidth="1"/>
    <col min="223" max="223" width="7.5703125" style="242" customWidth="1"/>
    <col min="224" max="233" width="8.85546875" style="242" customWidth="1"/>
    <col min="234" max="234" width="6.7109375" style="891" customWidth="1"/>
    <col min="235" max="235" width="42.85546875" style="242" customWidth="1"/>
    <col min="236" max="241" width="9.28515625" style="244" customWidth="1"/>
    <col min="242" max="242" width="1.140625" style="242" customWidth="1"/>
    <col min="243" max="243" width="4.42578125" style="242" customWidth="1"/>
    <col min="244" max="244" width="5.28515625" style="242" bestFit="1" customWidth="1"/>
    <col min="245" max="245" width="11" style="242" bestFit="1" customWidth="1"/>
    <col min="246" max="246" width="9.140625" style="242"/>
    <col min="247" max="247" width="2.140625" style="242" customWidth="1"/>
    <col min="248" max="248" width="20.7109375" style="242" customWidth="1"/>
    <col min="249" max="250" width="9.28515625" style="242" bestFit="1" customWidth="1"/>
    <col min="251" max="251" width="9.140625" style="242"/>
    <col min="252" max="252" width="2.140625" style="242" customWidth="1"/>
    <col min="253" max="253" width="9.140625" style="242"/>
    <col min="254" max="254" width="5.28515625" style="242" bestFit="1" customWidth="1"/>
    <col min="255" max="255" width="4.5703125" style="242" bestFit="1" customWidth="1"/>
    <col min="256" max="256" width="9.140625" style="242"/>
    <col min="257" max="257" width="2.42578125" style="242" customWidth="1"/>
    <col min="258" max="259" width="9.140625" style="242"/>
    <col min="260" max="262" width="9.28515625" style="242" bestFit="1" customWidth="1"/>
    <col min="263" max="263" width="2.42578125" style="242" customWidth="1"/>
    <col min="264" max="264" width="9.140625" style="242"/>
    <col min="265" max="265" width="2.42578125" style="242" customWidth="1"/>
    <col min="266" max="266" width="42.140625" style="242" customWidth="1"/>
    <col min="267" max="267" width="9.7109375" style="243" customWidth="1"/>
    <col min="268" max="268" width="9.28515625" style="243" customWidth="1"/>
    <col min="269" max="269" width="10.5703125" style="243" customWidth="1"/>
    <col min="270" max="270" width="2.42578125" style="242" customWidth="1"/>
    <col min="271" max="271" width="9.140625" style="242"/>
    <col min="272" max="272" width="2.42578125" style="242" customWidth="1"/>
    <col min="273" max="273" width="42.140625" style="242" customWidth="1"/>
    <col min="274" max="276" width="9.28515625" style="243" customWidth="1"/>
    <col min="277" max="277" width="2.42578125" style="242" customWidth="1"/>
    <col min="278" max="16384" width="9.140625" style="242"/>
  </cols>
  <sheetData>
    <row r="1" spans="2:277" x14ac:dyDescent="0.2">
      <c r="D1" s="1590"/>
      <c r="E1" s="1591"/>
      <c r="F1" s="1591"/>
      <c r="G1" s="1590"/>
      <c r="H1" s="1590"/>
      <c r="I1" s="1590"/>
      <c r="J1" s="1590"/>
      <c r="K1" s="1590"/>
      <c r="L1" s="1590"/>
      <c r="M1" s="1590"/>
      <c r="N1" s="1590"/>
      <c r="O1" s="1590"/>
      <c r="P1" s="1590"/>
      <c r="Q1" s="1590"/>
      <c r="R1" s="1590"/>
      <c r="S1" s="1590"/>
      <c r="T1" s="1592"/>
      <c r="U1" s="1592"/>
      <c r="V1" s="1592"/>
      <c r="W1" s="1592"/>
      <c r="X1" s="1592"/>
      <c r="Y1" s="1592"/>
      <c r="Z1" s="1592"/>
      <c r="AA1" s="1592"/>
      <c r="AB1" s="1592"/>
      <c r="AC1" s="1592"/>
      <c r="AD1" s="1592"/>
      <c r="AE1" s="1592"/>
      <c r="AV1" s="1590"/>
      <c r="AW1" s="1590"/>
      <c r="AX1" s="1590"/>
      <c r="AY1" s="1590"/>
      <c r="AZ1" s="1590"/>
      <c r="BA1" s="1590"/>
      <c r="BB1" s="1590"/>
      <c r="BC1" s="1590"/>
      <c r="BE1" s="1590"/>
      <c r="BF1" s="1590"/>
      <c r="BG1" s="1590"/>
      <c r="BH1" s="1590"/>
      <c r="BI1" s="1590"/>
      <c r="BJ1" s="1590"/>
      <c r="BK1" s="1590"/>
      <c r="BL1" s="1590"/>
      <c r="BP1" s="1590"/>
      <c r="BQ1" s="1590"/>
      <c r="BR1" s="1590"/>
      <c r="BS1" s="1590"/>
      <c r="BT1" s="1590"/>
      <c r="BU1" s="1590"/>
      <c r="BV1" s="1590"/>
      <c r="BW1" s="1590"/>
      <c r="BX1" s="1590"/>
      <c r="BY1" s="1590"/>
      <c r="BZ1" s="1590"/>
      <c r="CA1" s="1590"/>
      <c r="CB1" s="1590"/>
      <c r="CI1" s="1590"/>
      <c r="CJ1" s="1590"/>
      <c r="CK1" s="1590"/>
      <c r="CL1" s="1590"/>
      <c r="CM1" s="1590"/>
      <c r="CN1" s="1590"/>
      <c r="CO1" s="1590"/>
      <c r="CP1" s="1590"/>
      <c r="CQ1" s="1590"/>
      <c r="CR1" s="1590"/>
      <c r="CS1" s="1590"/>
      <c r="CT1" s="1590"/>
      <c r="CU1" s="1590"/>
      <c r="CV1" s="1590"/>
      <c r="DK1" s="1590"/>
      <c r="DL1" s="1590"/>
      <c r="DM1" s="1590"/>
      <c r="DN1" s="1590"/>
      <c r="DO1" s="1590"/>
      <c r="DP1" s="1590"/>
      <c r="DQ1" s="1590"/>
      <c r="DR1" s="1590"/>
      <c r="DS1" s="1590"/>
      <c r="DT1" s="1590"/>
      <c r="DU1" s="1590"/>
      <c r="DV1" s="1590"/>
      <c r="DW1" s="1590"/>
      <c r="DY1" s="1590"/>
      <c r="DZ1" s="1590"/>
      <c r="EA1" s="1590"/>
      <c r="EB1" s="1590"/>
      <c r="EC1" s="1590"/>
      <c r="ED1" s="1590"/>
      <c r="EE1" s="1590"/>
      <c r="EF1" s="1590"/>
      <c r="EK1" s="1590"/>
      <c r="EL1" s="1590"/>
      <c r="EM1" s="1590"/>
      <c r="EN1" s="1590"/>
      <c r="EO1" s="1590"/>
      <c r="EP1" s="1590"/>
      <c r="EQ1" s="1590"/>
      <c r="ER1" s="1590"/>
      <c r="EW1" s="1590"/>
      <c r="EX1" s="1590"/>
      <c r="EY1" s="1590"/>
      <c r="EZ1" s="1590"/>
      <c r="FA1" s="1590"/>
      <c r="FB1" s="1590"/>
      <c r="FC1" s="1590"/>
      <c r="FF1" s="440"/>
      <c r="FG1" s="440"/>
      <c r="FH1" s="440"/>
      <c r="FI1" s="440"/>
      <c r="FJ1" s="440"/>
      <c r="FK1" s="440"/>
      <c r="FL1" s="440"/>
      <c r="FN1" s="1590"/>
      <c r="FO1" s="1590"/>
      <c r="FP1" s="1590"/>
      <c r="FQ1" s="1590"/>
      <c r="FR1" s="1590"/>
      <c r="FS1" s="1590"/>
      <c r="FT1" s="1590"/>
      <c r="FU1" s="1590"/>
      <c r="FV1" s="1590"/>
      <c r="FW1" s="1590"/>
      <c r="FX1" s="1590"/>
      <c r="FY1" s="1590"/>
      <c r="FZ1" s="1590"/>
      <c r="GA1" s="1590"/>
      <c r="GB1" s="1590"/>
      <c r="GD1" s="440"/>
      <c r="GE1" s="440"/>
      <c r="GF1" s="440"/>
      <c r="GG1" s="440"/>
      <c r="GH1" s="440"/>
      <c r="GI1" s="440"/>
      <c r="GJ1" s="440"/>
      <c r="GK1" s="440"/>
      <c r="GL1" s="440"/>
      <c r="GM1" s="440"/>
      <c r="GN1" s="440"/>
      <c r="GO1" s="440"/>
      <c r="GP1" s="440"/>
      <c r="GQ1" s="440"/>
      <c r="GR1" s="440"/>
      <c r="GU1" s="1375"/>
      <c r="GW1" s="1375"/>
      <c r="GX1" s="1375"/>
      <c r="GY1" s="1375"/>
      <c r="GZ1" s="1375"/>
      <c r="HA1" s="1375"/>
      <c r="HB1" s="1375"/>
      <c r="HC1" s="1375"/>
      <c r="HD1" s="1375"/>
      <c r="HE1" s="1375"/>
      <c r="HF1" s="1375"/>
      <c r="HG1" s="1375"/>
      <c r="HH1" s="1375"/>
      <c r="HJ1" s="1375"/>
      <c r="HK1" s="1375"/>
      <c r="HL1" s="1375"/>
      <c r="HM1" s="1375"/>
      <c r="HN1" s="1375"/>
      <c r="HO1" s="1375"/>
      <c r="IA1" s="1590"/>
      <c r="IB1" s="1592"/>
      <c r="IC1" s="1592"/>
      <c r="ID1" s="1592"/>
      <c r="IE1" s="1592"/>
      <c r="IF1" s="1592"/>
      <c r="IG1" s="1592"/>
      <c r="IN1" s="1590"/>
      <c r="IO1" s="1590"/>
      <c r="IP1" s="1590"/>
      <c r="IQ1" s="1590"/>
      <c r="IX1" s="1375"/>
      <c r="IY1" s="1375"/>
      <c r="IZ1" s="1375"/>
      <c r="JA1" s="1375"/>
      <c r="JB1" s="1375"/>
      <c r="JF1" s="1590"/>
      <c r="JG1" s="1591"/>
      <c r="JH1" s="1591"/>
      <c r="JI1" s="1591"/>
      <c r="JM1" s="1590"/>
      <c r="JN1" s="1591"/>
      <c r="JO1" s="1591"/>
      <c r="JP1" s="1591"/>
    </row>
    <row r="2" spans="2:277" x14ac:dyDescent="0.2">
      <c r="F2" s="243"/>
      <c r="CI2" s="1007"/>
      <c r="CJ2" s="657"/>
      <c r="CK2" s="1007"/>
      <c r="CL2" s="1007"/>
      <c r="CM2" s="1007"/>
      <c r="CN2" s="1007"/>
      <c r="CO2" s="1007"/>
      <c r="CP2" s="1007"/>
      <c r="CQ2" s="1007"/>
      <c r="CR2" s="1007"/>
      <c r="CS2" s="1007"/>
      <c r="CT2" s="1007"/>
      <c r="CU2" s="1007"/>
      <c r="CV2" s="1007"/>
      <c r="JG2" s="242"/>
      <c r="JH2" s="242"/>
      <c r="JI2" s="242"/>
      <c r="JN2" s="242"/>
      <c r="JO2" s="242"/>
      <c r="JP2" s="242"/>
    </row>
    <row r="3" spans="2:277" ht="18" customHeight="1" x14ac:dyDescent="0.2">
      <c r="JG3" s="242"/>
      <c r="JH3" s="242"/>
      <c r="JI3" s="242"/>
      <c r="JN3" s="242"/>
      <c r="JO3" s="242"/>
      <c r="JP3" s="242"/>
    </row>
    <row r="4" spans="2:277" ht="27.75" x14ac:dyDescent="0.4">
      <c r="D4" s="1290" t="s">
        <v>182</v>
      </c>
      <c r="E4" s="1291"/>
      <c r="F4" s="1291"/>
      <c r="G4" s="1291"/>
      <c r="H4" s="1291"/>
      <c r="I4" s="1291"/>
      <c r="J4" s="1291"/>
      <c r="K4" s="1291"/>
      <c r="L4" s="1291"/>
      <c r="M4" s="1291"/>
      <c r="N4" s="1291"/>
      <c r="O4" s="1291"/>
      <c r="P4" s="1291"/>
      <c r="Q4" s="1291"/>
      <c r="R4" s="1291"/>
      <c r="S4" s="1291"/>
      <c r="T4" s="1292"/>
      <c r="U4" s="1292"/>
      <c r="V4" s="1292"/>
      <c r="W4" s="1292"/>
      <c r="X4" s="1292"/>
      <c r="Y4" s="1292"/>
      <c r="Z4" s="1292"/>
      <c r="AA4" s="1292"/>
      <c r="AB4" s="1292"/>
      <c r="AC4" s="1292"/>
      <c r="AD4" s="1292"/>
      <c r="AE4" s="1292"/>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1"/>
      <c r="BC4" s="1291"/>
      <c r="BD4" s="1291"/>
      <c r="BE4" s="1291"/>
      <c r="BF4" s="1291"/>
      <c r="BG4" s="1291"/>
      <c r="BH4" s="1291"/>
      <c r="BI4" s="1291"/>
      <c r="BJ4" s="1291"/>
      <c r="BK4" s="1291"/>
      <c r="BL4" s="1291"/>
      <c r="BM4" s="1291"/>
      <c r="BN4" s="1291"/>
      <c r="BO4" s="1291"/>
      <c r="BP4" s="1291"/>
      <c r="BQ4" s="1292"/>
      <c r="BR4" s="1291"/>
      <c r="BS4" s="1291"/>
      <c r="BT4" s="1291"/>
      <c r="BU4" s="1291"/>
      <c r="BV4" s="1291"/>
      <c r="BW4" s="1291"/>
      <c r="BX4" s="1291"/>
      <c r="BY4" s="1291"/>
      <c r="BZ4" s="1291"/>
      <c r="CA4" s="1291"/>
      <c r="CB4" s="1291"/>
      <c r="CC4" s="1291"/>
      <c r="CD4" s="1291"/>
      <c r="CE4" s="1291"/>
      <c r="CF4" s="1291"/>
      <c r="CG4" s="1291"/>
      <c r="CH4" s="1291"/>
      <c r="CI4" s="1291"/>
      <c r="CJ4" s="1291"/>
      <c r="CK4" s="1292"/>
      <c r="CL4" s="1292"/>
      <c r="CM4" s="1292"/>
      <c r="CN4" s="1292"/>
      <c r="CO4" s="1292"/>
      <c r="CP4" s="1292"/>
      <c r="CQ4" s="1292"/>
      <c r="CR4" s="1292"/>
      <c r="CS4" s="1292"/>
      <c r="CT4" s="1292"/>
      <c r="CU4" s="1292"/>
      <c r="CV4" s="1292"/>
      <c r="CW4" s="1292"/>
      <c r="CX4" s="1292"/>
      <c r="CY4" s="1292"/>
      <c r="CZ4" s="1292"/>
      <c r="DA4" s="1292"/>
      <c r="DB4" s="1292"/>
      <c r="DC4" s="1292"/>
      <c r="DD4" s="1292"/>
      <c r="DE4" s="1292"/>
      <c r="DF4" s="1292"/>
      <c r="DG4" s="1292"/>
      <c r="DH4" s="1292"/>
      <c r="DI4" s="1292"/>
      <c r="DJ4" s="1291"/>
      <c r="DK4" s="1291"/>
      <c r="DL4" s="1291"/>
      <c r="DM4" s="1291"/>
      <c r="DN4" s="1291"/>
      <c r="DO4" s="1291"/>
      <c r="DP4" s="1291"/>
      <c r="DQ4" s="1291"/>
      <c r="DR4" s="1291"/>
      <c r="DS4" s="1291"/>
      <c r="DT4" s="1291"/>
      <c r="DU4" s="1291"/>
      <c r="DV4" s="1291"/>
      <c r="DW4" s="1291"/>
      <c r="DX4" s="1291"/>
      <c r="DY4" s="1291"/>
      <c r="DZ4" s="1291"/>
      <c r="EA4" s="1291"/>
      <c r="EB4" s="1291"/>
      <c r="EC4" s="1291"/>
      <c r="ED4" s="1291"/>
      <c r="EE4" s="1291"/>
      <c r="EF4" s="1291"/>
      <c r="EG4" s="1291"/>
      <c r="EH4" s="1291"/>
      <c r="EI4" s="1291"/>
      <c r="EJ4" s="1291"/>
      <c r="EK4" s="1291"/>
      <c r="EL4" s="1291"/>
      <c r="EM4" s="1291"/>
      <c r="EN4" s="1291"/>
      <c r="EO4" s="1291"/>
      <c r="EP4" s="1291"/>
      <c r="EQ4" s="1291"/>
      <c r="ER4" s="1291"/>
      <c r="ES4" s="1291"/>
      <c r="ET4" s="1291"/>
      <c r="EW4" s="1291"/>
      <c r="EX4" s="1291"/>
      <c r="EY4" s="1291"/>
      <c r="EZ4" s="1291"/>
      <c r="FA4" s="1291"/>
      <c r="FB4" s="1291"/>
      <c r="FC4" s="1291"/>
      <c r="FF4" s="1291"/>
      <c r="FG4" s="1291"/>
      <c r="FH4" s="1291"/>
      <c r="FI4" s="1291"/>
      <c r="FJ4" s="1291"/>
      <c r="FK4" s="1291"/>
      <c r="FL4" s="1291"/>
      <c r="GU4" s="1291"/>
      <c r="GV4" s="1291"/>
      <c r="GW4" s="1291"/>
      <c r="GX4" s="1291"/>
      <c r="GY4" s="1291"/>
      <c r="GZ4" s="1292"/>
      <c r="HA4" s="1292"/>
      <c r="HB4" s="1292"/>
      <c r="HC4" s="1292"/>
      <c r="HD4" s="1292"/>
      <c r="HE4" s="1292"/>
      <c r="HF4" s="1292"/>
      <c r="HG4" s="1292"/>
      <c r="HH4" s="1292"/>
      <c r="HJ4" s="1291"/>
      <c r="IA4" s="1291"/>
      <c r="IB4" s="1292"/>
      <c r="IC4" s="1292"/>
      <c r="ID4" s="1292"/>
      <c r="IE4" s="1292"/>
      <c r="IF4" s="1292"/>
      <c r="IG4" s="1292"/>
    </row>
    <row r="5" spans="2:277" ht="12.75" customHeight="1" x14ac:dyDescent="0.2">
      <c r="E5" s="242"/>
      <c r="CE5" s="242"/>
      <c r="CF5" s="242"/>
      <c r="CG5" s="242"/>
      <c r="CH5" s="242"/>
      <c r="CI5" s="242"/>
    </row>
    <row r="6" spans="2:277" ht="12.75" customHeight="1" x14ac:dyDescent="0.2">
      <c r="HI6" s="244"/>
      <c r="HJ6" s="244"/>
      <c r="HK6" s="244"/>
      <c r="HL6" s="244"/>
      <c r="HM6" s="244"/>
      <c r="HN6" s="244"/>
      <c r="HO6" s="244"/>
    </row>
    <row r="7" spans="2:277" ht="21" x14ac:dyDescent="0.35">
      <c r="D7" s="245" t="s">
        <v>183</v>
      </c>
      <c r="E7" s="246"/>
      <c r="F7" s="246"/>
      <c r="G7" s="246"/>
      <c r="H7" s="246"/>
      <c r="I7" s="246"/>
      <c r="J7" s="246"/>
      <c r="K7" s="246"/>
      <c r="L7" s="246"/>
      <c r="M7" s="246"/>
      <c r="N7" s="246"/>
      <c r="O7" s="246"/>
      <c r="P7" s="246"/>
      <c r="Q7" s="246"/>
      <c r="R7" s="246"/>
      <c r="S7" s="246"/>
      <c r="T7" s="247"/>
      <c r="U7" s="247"/>
      <c r="V7" s="247"/>
      <c r="W7" s="247"/>
      <c r="X7" s="247"/>
      <c r="Y7" s="247"/>
      <c r="Z7" s="247"/>
      <c r="AA7" s="247"/>
      <c r="AB7" s="247"/>
      <c r="AC7" s="247"/>
      <c r="AD7" s="247"/>
      <c r="AE7" s="247"/>
      <c r="AH7" s="245" t="s">
        <v>866</v>
      </c>
      <c r="AI7" s="247"/>
      <c r="AJ7" s="247"/>
      <c r="AK7" s="247"/>
      <c r="AL7" s="247"/>
      <c r="AM7" s="247"/>
      <c r="AN7" s="247"/>
      <c r="AO7" s="247"/>
      <c r="AP7" s="247"/>
      <c r="AQ7" s="247"/>
      <c r="AR7" s="247"/>
      <c r="AS7" s="247"/>
      <c r="AV7" s="245" t="s">
        <v>184</v>
      </c>
      <c r="AW7" s="248"/>
      <c r="AX7" s="248"/>
      <c r="AY7" s="248"/>
      <c r="AZ7" s="248"/>
      <c r="BA7" s="248"/>
      <c r="BB7" s="248"/>
      <c r="BC7" s="248"/>
      <c r="BE7" s="245" t="s">
        <v>185</v>
      </c>
      <c r="BF7" s="248"/>
      <c r="BG7" s="248"/>
      <c r="BH7" s="248"/>
      <c r="BI7" s="248"/>
      <c r="BJ7" s="248"/>
      <c r="BK7" s="248"/>
      <c r="BL7" s="248"/>
      <c r="BP7" s="245" t="s">
        <v>186</v>
      </c>
      <c r="BQ7" s="249"/>
      <c r="BR7" s="245"/>
      <c r="BS7" s="245"/>
      <c r="BT7" s="245"/>
      <c r="BU7" s="245"/>
      <c r="BV7" s="245"/>
      <c r="BW7" s="245"/>
      <c r="BX7" s="245"/>
      <c r="BY7" s="245"/>
      <c r="BZ7" s="245"/>
      <c r="CA7" s="245"/>
      <c r="CB7" s="245"/>
      <c r="CE7" s="250"/>
      <c r="CF7" s="250"/>
      <c r="CG7" s="250"/>
      <c r="CH7" s="250"/>
      <c r="CI7" s="245" t="s">
        <v>187</v>
      </c>
      <c r="CJ7" s="251"/>
      <c r="CK7" s="1006"/>
      <c r="CL7" s="1006"/>
      <c r="CM7" s="1006"/>
      <c r="CN7" s="1006"/>
      <c r="CO7" s="1006"/>
      <c r="CP7" s="1006"/>
      <c r="CQ7" s="1006"/>
      <c r="CR7" s="1006"/>
      <c r="CS7" s="1006"/>
      <c r="CT7" s="1006"/>
      <c r="CU7" s="1006"/>
      <c r="CV7" s="1006"/>
      <c r="CW7" s="395"/>
      <c r="CX7" s="245" t="s">
        <v>865</v>
      </c>
      <c r="CY7" s="1006"/>
      <c r="CZ7" s="1006"/>
      <c r="DA7" s="1006"/>
      <c r="DB7" s="1006"/>
      <c r="DC7" s="1006"/>
      <c r="DD7" s="1006"/>
      <c r="DE7" s="1006"/>
      <c r="DF7" s="395"/>
      <c r="DG7" s="395"/>
      <c r="DH7" s="395"/>
      <c r="DI7" s="395"/>
      <c r="DJ7" s="244"/>
      <c r="DK7" s="1629" t="s">
        <v>818</v>
      </c>
      <c r="DL7" s="252"/>
      <c r="DM7" s="252"/>
      <c r="DN7" s="252"/>
      <c r="DO7" s="252"/>
      <c r="DP7" s="252"/>
      <c r="DQ7" s="252"/>
      <c r="DR7" s="252"/>
      <c r="DS7" s="252"/>
      <c r="DT7" s="252"/>
      <c r="DU7" s="252"/>
      <c r="DV7" s="252"/>
      <c r="DW7" s="252"/>
      <c r="DX7" s="244"/>
      <c r="DY7" s="252" t="s">
        <v>189</v>
      </c>
      <c r="DZ7" s="253"/>
      <c r="EA7" s="253"/>
      <c r="EB7" s="253"/>
      <c r="EC7" s="253"/>
      <c r="ED7" s="253"/>
      <c r="EE7" s="253"/>
      <c r="EF7" s="253"/>
      <c r="EK7" s="252" t="s">
        <v>190</v>
      </c>
      <c r="EL7" s="253"/>
      <c r="EM7" s="253"/>
      <c r="EN7" s="253"/>
      <c r="EO7" s="253"/>
      <c r="EP7" s="253"/>
      <c r="EQ7" s="253"/>
      <c r="ER7" s="253"/>
      <c r="EW7" s="252" t="s">
        <v>861</v>
      </c>
      <c r="EX7" s="253"/>
      <c r="EY7" s="253"/>
      <c r="EZ7" s="253"/>
      <c r="FA7" s="253"/>
      <c r="FB7" s="253"/>
      <c r="FC7" s="253"/>
      <c r="FF7" s="252" t="s">
        <v>863</v>
      </c>
      <c r="FG7" s="253"/>
      <c r="FH7" s="253"/>
      <c r="FI7" s="253"/>
      <c r="FJ7" s="253"/>
      <c r="FK7" s="253"/>
      <c r="FL7" s="253"/>
      <c r="FN7" s="252" t="s">
        <v>864</v>
      </c>
      <c r="FO7" s="252"/>
      <c r="FP7" s="253"/>
      <c r="FQ7" s="253"/>
      <c r="FR7" s="253"/>
      <c r="FS7" s="253"/>
      <c r="FT7" s="253"/>
      <c r="FU7" s="253"/>
      <c r="FV7" s="253"/>
      <c r="FW7" s="253"/>
      <c r="FX7" s="253"/>
      <c r="FY7" s="253"/>
      <c r="FZ7" s="253"/>
      <c r="GA7" s="253"/>
      <c r="GB7" s="253"/>
      <c r="GD7" s="252" t="s">
        <v>738</v>
      </c>
      <c r="GE7" s="253"/>
      <c r="GF7" s="253"/>
      <c r="GG7" s="253"/>
      <c r="GH7" s="253"/>
      <c r="GI7" s="253"/>
      <c r="GJ7" s="253"/>
      <c r="GK7" s="253"/>
      <c r="GL7" s="253"/>
      <c r="GM7" s="253"/>
      <c r="GN7" s="253"/>
      <c r="GO7" s="253"/>
      <c r="GP7" s="253"/>
      <c r="GQ7" s="253"/>
      <c r="GR7" s="253"/>
      <c r="GS7" s="253"/>
      <c r="GT7" s="253"/>
      <c r="GU7" s="252" t="s">
        <v>869</v>
      </c>
      <c r="GV7" s="395"/>
      <c r="GW7" s="253"/>
      <c r="GX7" s="1289"/>
      <c r="GY7" s="1289"/>
      <c r="GZ7" s="1289"/>
      <c r="HA7" s="1289"/>
      <c r="HB7" s="1289"/>
      <c r="HC7" s="1289"/>
      <c r="HD7" s="1289"/>
      <c r="HE7" s="1289"/>
      <c r="HF7" s="1289"/>
      <c r="HG7" s="1289"/>
      <c r="HH7" s="1289"/>
      <c r="HI7" s="2315"/>
      <c r="HJ7" s="1289"/>
      <c r="HK7" s="1289"/>
      <c r="HL7" s="1289"/>
      <c r="HM7" s="1289"/>
      <c r="HN7" s="1289"/>
      <c r="HO7" s="1289"/>
      <c r="IA7" s="252" t="s">
        <v>191</v>
      </c>
      <c r="IB7" s="253"/>
      <c r="IC7" s="253"/>
      <c r="ID7" s="253"/>
      <c r="IE7" s="253"/>
      <c r="IF7" s="253"/>
      <c r="IG7" s="253"/>
      <c r="IN7" s="245" t="s">
        <v>824</v>
      </c>
      <c r="IO7" s="253"/>
      <c r="IP7" s="253"/>
      <c r="IQ7" s="253"/>
      <c r="IX7" s="245" t="s">
        <v>825</v>
      </c>
      <c r="IY7" s="251"/>
      <c r="IZ7" s="254"/>
      <c r="JA7" s="254"/>
      <c r="JB7" s="254"/>
      <c r="JC7" s="250"/>
      <c r="JD7" s="250"/>
      <c r="JE7" s="250"/>
      <c r="JF7" s="245" t="s">
        <v>192</v>
      </c>
      <c r="JG7" s="251"/>
      <c r="JH7" s="251"/>
      <c r="JI7" s="251"/>
      <c r="JM7" s="245" t="s">
        <v>193</v>
      </c>
      <c r="JN7" s="251"/>
      <c r="JO7" s="251"/>
      <c r="JP7" s="251"/>
      <c r="JQ7" s="253"/>
    </row>
    <row r="8" spans="2:277" ht="12.75" customHeight="1" x14ac:dyDescent="0.2">
      <c r="F8" s="243"/>
      <c r="G8" s="243"/>
      <c r="CE8" s="242"/>
      <c r="CF8" s="242"/>
      <c r="CG8" s="242"/>
      <c r="CH8" s="242"/>
      <c r="CI8" s="242"/>
      <c r="CJ8" s="243"/>
      <c r="CK8" s="1007"/>
      <c r="CL8" s="1007"/>
      <c r="CM8" s="1007"/>
      <c r="CN8" s="1007"/>
      <c r="CO8" s="1007"/>
      <c r="CP8" s="1007"/>
      <c r="CQ8" s="1007"/>
      <c r="CR8" s="1007"/>
      <c r="CS8" s="1007"/>
      <c r="CT8" s="1007"/>
      <c r="CU8" s="1007"/>
      <c r="CV8" s="1007"/>
      <c r="DJ8" s="244"/>
      <c r="DL8" s="244"/>
      <c r="DM8" s="244"/>
      <c r="DN8" s="244"/>
      <c r="DO8" s="244"/>
      <c r="DP8" s="244"/>
      <c r="DQ8" s="244"/>
      <c r="DR8" s="244"/>
      <c r="DS8" s="244"/>
      <c r="DT8" s="244"/>
      <c r="DU8" s="244"/>
      <c r="DV8" s="244"/>
      <c r="DW8" s="244"/>
      <c r="DX8" s="244"/>
      <c r="GW8" s="242"/>
      <c r="HI8" s="244"/>
      <c r="HJ8" s="244"/>
      <c r="HK8" s="244"/>
      <c r="HL8" s="244"/>
      <c r="HM8" s="244"/>
      <c r="HN8" s="244"/>
      <c r="HO8" s="244"/>
      <c r="IO8" s="244"/>
      <c r="IP8" s="244"/>
      <c r="IQ8" s="244"/>
    </row>
    <row r="9" spans="2:277" ht="23.25" customHeight="1" outlineLevel="1" x14ac:dyDescent="0.25">
      <c r="B9" s="256" t="s">
        <v>194</v>
      </c>
      <c r="D9" s="257" t="s">
        <v>55</v>
      </c>
      <c r="E9" s="258"/>
      <c r="G9" s="259"/>
      <c r="H9" s="259"/>
      <c r="I9" s="259"/>
      <c r="J9" s="259"/>
      <c r="K9" s="259"/>
      <c r="L9" s="259"/>
      <c r="M9" s="259"/>
      <c r="N9" s="259"/>
      <c r="O9" s="259"/>
      <c r="P9" s="259"/>
      <c r="Q9" s="259"/>
      <c r="R9" s="259"/>
      <c r="AV9" s="257"/>
      <c r="AW9" s="257"/>
      <c r="AX9" s="257"/>
      <c r="AY9" s="257"/>
      <c r="AZ9" s="257"/>
      <c r="BA9" s="257"/>
      <c r="BB9" s="257"/>
      <c r="BC9" s="257"/>
      <c r="BE9" s="257"/>
      <c r="BF9" s="257"/>
      <c r="BG9" s="257"/>
      <c r="BH9" s="257"/>
      <c r="BI9" s="257"/>
      <c r="BJ9" s="257"/>
      <c r="BK9" s="257"/>
      <c r="BL9" s="257"/>
      <c r="BN9" s="1151">
        <f>AX19+BY13</f>
        <v>114.40000000000006</v>
      </c>
      <c r="BP9" s="260"/>
      <c r="BQ9" s="261"/>
      <c r="BR9" s="260"/>
      <c r="BS9" s="260"/>
      <c r="BT9" s="260"/>
      <c r="BU9" s="260"/>
      <c r="BV9" s="260"/>
      <c r="BW9" s="260"/>
      <c r="BX9" s="260"/>
      <c r="BY9" s="260"/>
      <c r="BZ9" s="260"/>
      <c r="CA9" s="260"/>
      <c r="CB9" s="260"/>
      <c r="CE9" s="242"/>
      <c r="CF9" s="256" t="s">
        <v>194</v>
      </c>
      <c r="CG9" s="242"/>
      <c r="CH9" s="242"/>
      <c r="CI9" s="262" t="s">
        <v>195</v>
      </c>
      <c r="CJ9" s="243"/>
      <c r="CK9" s="1007"/>
      <c r="CL9" s="1007"/>
      <c r="CM9" s="1007"/>
      <c r="CN9" s="1007"/>
      <c r="CO9" s="1007"/>
      <c r="CP9" s="1007"/>
      <c r="CQ9" s="1007"/>
      <c r="CR9" s="1007"/>
      <c r="CS9" s="1007"/>
      <c r="CT9" s="1007"/>
      <c r="CU9" s="1007"/>
      <c r="CV9" s="1007"/>
      <c r="DJ9" s="244"/>
      <c r="DL9" s="244"/>
      <c r="DM9" s="244"/>
      <c r="DN9" s="244"/>
      <c r="DO9" s="244"/>
      <c r="DP9" s="244"/>
      <c r="DQ9" s="244"/>
      <c r="DR9" s="244"/>
      <c r="DS9" s="244"/>
      <c r="DT9" s="244"/>
      <c r="DU9" s="244"/>
      <c r="DV9" s="244"/>
      <c r="DW9" s="244"/>
      <c r="DX9" s="244"/>
      <c r="DY9" s="263" t="s">
        <v>195</v>
      </c>
      <c r="EK9" s="262" t="s">
        <v>196</v>
      </c>
      <c r="EL9" s="258"/>
      <c r="FM9" s="310"/>
      <c r="FP9" s="1487" t="s">
        <v>739</v>
      </c>
      <c r="FQ9" s="1487"/>
      <c r="FR9" s="1487"/>
      <c r="FS9" s="1488"/>
      <c r="FT9" s="1488"/>
      <c r="FU9" s="1488"/>
      <c r="FW9" s="1487" t="s">
        <v>740</v>
      </c>
      <c r="FX9" s="1487"/>
      <c r="FY9" s="1487"/>
      <c r="FZ9" s="1487"/>
      <c r="GA9" s="1487"/>
      <c r="GB9" s="1487"/>
      <c r="GF9" s="1487" t="s">
        <v>217</v>
      </c>
      <c r="GG9" s="1487"/>
      <c r="GH9" s="1487"/>
      <c r="GI9" s="1488"/>
      <c r="GJ9" s="1488"/>
      <c r="GK9" s="1488"/>
      <c r="GM9" s="1487" t="s">
        <v>26</v>
      </c>
      <c r="GN9" s="1487"/>
      <c r="GO9" s="1487"/>
      <c r="GP9" s="1487"/>
      <c r="GQ9" s="1487"/>
      <c r="GR9" s="1487"/>
      <c r="GT9" s="1487"/>
      <c r="GU9" s="262"/>
      <c r="GV9" s="1487"/>
      <c r="GW9" s="1487"/>
      <c r="GX9" s="270"/>
      <c r="GY9" s="270"/>
      <c r="GZ9" s="270"/>
      <c r="HA9" s="270"/>
      <c r="HB9" s="270"/>
      <c r="HC9" s="270"/>
      <c r="HD9" s="270"/>
      <c r="HE9" s="270"/>
      <c r="HF9" s="270"/>
      <c r="HG9" s="270"/>
      <c r="HH9" s="270"/>
      <c r="HI9" s="259"/>
      <c r="HJ9" s="271"/>
      <c r="HK9" s="271"/>
      <c r="HL9" s="271"/>
      <c r="HM9" s="271"/>
      <c r="HN9" s="271"/>
      <c r="HO9" s="271"/>
      <c r="HP9" s="310"/>
      <c r="HQ9" s="310"/>
      <c r="HR9" s="310"/>
      <c r="HS9" s="310"/>
      <c r="HT9" s="310"/>
      <c r="HU9" s="310"/>
      <c r="HV9" s="310"/>
      <c r="HW9" s="310"/>
      <c r="HX9" s="310"/>
      <c r="HY9" s="310"/>
      <c r="HZ9" s="892"/>
      <c r="IA9" s="262" t="s">
        <v>211</v>
      </c>
      <c r="IB9" s="2022"/>
      <c r="IC9" s="2022"/>
      <c r="ID9" s="2022"/>
      <c r="IE9" s="2022"/>
      <c r="IF9" s="2022"/>
      <c r="IG9" s="2022"/>
      <c r="IH9" s="1222"/>
      <c r="IJ9" s="256" t="s">
        <v>188</v>
      </c>
      <c r="IK9" s="256" t="s">
        <v>194</v>
      </c>
      <c r="IO9" s="244"/>
      <c r="IP9" s="244"/>
      <c r="IT9" s="256" t="s">
        <v>188</v>
      </c>
      <c r="IU9" s="256" t="s">
        <v>194</v>
      </c>
      <c r="IX9" s="262" t="s">
        <v>197</v>
      </c>
      <c r="IY9" s="243"/>
    </row>
    <row r="10" spans="2:277" ht="14.25" customHeight="1" outlineLevel="1" x14ac:dyDescent="0.2">
      <c r="B10" s="264">
        <v>1</v>
      </c>
      <c r="D10" s="265"/>
      <c r="E10" s="266"/>
      <c r="G10" s="267" t="s">
        <v>159</v>
      </c>
      <c r="H10" s="267" t="s">
        <v>159</v>
      </c>
      <c r="I10" s="267" t="s">
        <v>159</v>
      </c>
      <c r="J10" s="267" t="s">
        <v>159</v>
      </c>
      <c r="K10" s="267" t="s">
        <v>159</v>
      </c>
      <c r="L10" s="267" t="s">
        <v>159</v>
      </c>
      <c r="M10" s="267" t="s">
        <v>159</v>
      </c>
      <c r="N10" s="267" t="s">
        <v>159</v>
      </c>
      <c r="O10" s="267" t="s">
        <v>159</v>
      </c>
      <c r="P10" s="267" t="s">
        <v>159</v>
      </c>
      <c r="Q10" s="267" t="s">
        <v>159</v>
      </c>
      <c r="R10" s="267" t="s">
        <v>159</v>
      </c>
      <c r="S10" s="263"/>
      <c r="T10" s="261" t="s">
        <v>160</v>
      </c>
      <c r="U10" s="261" t="s">
        <v>160</v>
      </c>
      <c r="V10" s="261" t="s">
        <v>160</v>
      </c>
      <c r="W10" s="261" t="s">
        <v>160</v>
      </c>
      <c r="X10" s="261" t="s">
        <v>160</v>
      </c>
      <c r="Y10" s="261" t="s">
        <v>160</v>
      </c>
      <c r="Z10" s="261" t="s">
        <v>160</v>
      </c>
      <c r="AA10" s="261" t="s">
        <v>160</v>
      </c>
      <c r="AB10" s="261" t="s">
        <v>160</v>
      </c>
      <c r="AC10" s="261" t="s">
        <v>160</v>
      </c>
      <c r="AD10" s="261" t="s">
        <v>160</v>
      </c>
      <c r="AE10" s="261" t="s">
        <v>160</v>
      </c>
      <c r="AF10" s="268"/>
      <c r="AG10" s="268"/>
      <c r="AH10" s="261"/>
      <c r="AI10" s="261"/>
      <c r="AJ10" s="261"/>
      <c r="AK10" s="261"/>
      <c r="AL10" s="261"/>
      <c r="AM10" s="261"/>
      <c r="AN10" s="261"/>
      <c r="AO10" s="261"/>
      <c r="AP10" s="261"/>
      <c r="AQ10" s="261"/>
      <c r="AR10" s="261"/>
      <c r="AS10" s="261"/>
      <c r="AT10" s="268"/>
      <c r="AU10" s="268"/>
      <c r="AV10" s="1693"/>
      <c r="AW10" s="1692"/>
      <c r="AX10" s="1691" t="s">
        <v>198</v>
      </c>
      <c r="AY10" s="1691" t="str">
        <f>AX10</f>
        <v>Kvartal 2</v>
      </c>
      <c r="AZ10" s="261" t="str">
        <f>[2]rapkvart!F$4</f>
        <v>Kvartal 1-2</v>
      </c>
      <c r="BA10" s="261" t="str">
        <f>[2]rapkvart!G$4</f>
        <v>Kvartal 1-2</v>
      </c>
      <c r="BB10" s="1691" t="s">
        <v>199</v>
      </c>
      <c r="BC10" s="1691" t="s">
        <v>32</v>
      </c>
      <c r="BD10" s="268"/>
      <c r="BE10" s="265"/>
      <c r="BF10" s="266"/>
      <c r="BG10" s="261" t="s">
        <v>200</v>
      </c>
      <c r="BH10" s="261" t="s">
        <v>200</v>
      </c>
      <c r="BI10" s="261" t="s">
        <v>201</v>
      </c>
      <c r="BJ10" s="261" t="s">
        <v>201</v>
      </c>
      <c r="BK10" s="261" t="s">
        <v>202</v>
      </c>
      <c r="BL10" s="261" t="s">
        <v>203</v>
      </c>
      <c r="BM10" s="268"/>
      <c r="BO10" s="268"/>
      <c r="BP10" s="260"/>
      <c r="BQ10" s="261" t="str">
        <f t="shared" ref="BQ10:CB11" si="0">T10</f>
        <v>QTD</v>
      </c>
      <c r="BR10" s="261" t="str">
        <f t="shared" si="0"/>
        <v>QTD</v>
      </c>
      <c r="BS10" s="261" t="str">
        <f t="shared" si="0"/>
        <v>QTD</v>
      </c>
      <c r="BT10" s="261" t="str">
        <f t="shared" si="0"/>
        <v>QTD</v>
      </c>
      <c r="BU10" s="261" t="str">
        <f t="shared" si="0"/>
        <v>QTD</v>
      </c>
      <c r="BV10" s="261" t="str">
        <f t="shared" si="0"/>
        <v>QTD</v>
      </c>
      <c r="BW10" s="261" t="str">
        <f t="shared" si="0"/>
        <v>QTD</v>
      </c>
      <c r="BX10" s="261" t="str">
        <f t="shared" si="0"/>
        <v>QTD</v>
      </c>
      <c r="BY10" s="261" t="str">
        <f t="shared" si="0"/>
        <v>QTD</v>
      </c>
      <c r="BZ10" s="261" t="str">
        <f t="shared" si="0"/>
        <v>QTD</v>
      </c>
      <c r="CA10" s="261" t="str">
        <f t="shared" si="0"/>
        <v>QTD</v>
      </c>
      <c r="CB10" s="261" t="str">
        <f t="shared" si="0"/>
        <v>QTD</v>
      </c>
      <c r="CE10" s="242"/>
      <c r="CF10" s="264">
        <v>1</v>
      </c>
      <c r="CG10" s="242"/>
      <c r="CH10" s="242"/>
      <c r="CI10" s="260"/>
      <c r="CJ10" s="267"/>
      <c r="CK10" s="261" t="str">
        <f t="shared" ref="CK10:CV11" si="1">BQ10</f>
        <v>QTD</v>
      </c>
      <c r="CL10" s="261" t="str">
        <f t="shared" si="1"/>
        <v>QTD</v>
      </c>
      <c r="CM10" s="261" t="str">
        <f t="shared" si="1"/>
        <v>QTD</v>
      </c>
      <c r="CN10" s="261" t="str">
        <f t="shared" si="1"/>
        <v>QTD</v>
      </c>
      <c r="CO10" s="261" t="str">
        <f t="shared" si="1"/>
        <v>QTD</v>
      </c>
      <c r="CP10" s="261" t="str">
        <f t="shared" si="1"/>
        <v>QTD</v>
      </c>
      <c r="CQ10" s="261" t="str">
        <f t="shared" si="1"/>
        <v>QTD</v>
      </c>
      <c r="CR10" s="261" t="str">
        <f t="shared" si="1"/>
        <v>QTD</v>
      </c>
      <c r="CS10" s="261" t="str">
        <f t="shared" si="1"/>
        <v>QTD</v>
      </c>
      <c r="CT10" s="261" t="str">
        <f t="shared" si="1"/>
        <v>QTD</v>
      </c>
      <c r="CU10" s="261" t="str">
        <f t="shared" si="1"/>
        <v>QTD</v>
      </c>
      <c r="CV10" s="261" t="str">
        <f t="shared" si="1"/>
        <v>QTD</v>
      </c>
      <c r="CW10" s="477"/>
      <c r="CX10" s="261" t="str">
        <f t="shared" ref="CX10:DE11" si="2">CO10</f>
        <v>QTD</v>
      </c>
      <c r="CY10" s="261" t="str">
        <f t="shared" si="2"/>
        <v>QTD</v>
      </c>
      <c r="CZ10" s="261" t="str">
        <f t="shared" si="2"/>
        <v>QTD</v>
      </c>
      <c r="DA10" s="261" t="str">
        <f t="shared" si="2"/>
        <v>QTD</v>
      </c>
      <c r="DB10" s="261" t="str">
        <f t="shared" si="2"/>
        <v>QTD</v>
      </c>
      <c r="DC10" s="261" t="str">
        <f t="shared" si="2"/>
        <v>QTD</v>
      </c>
      <c r="DD10" s="261" t="str">
        <f t="shared" si="2"/>
        <v>QTD</v>
      </c>
      <c r="DE10" s="261" t="str">
        <f t="shared" si="2"/>
        <v>QTD</v>
      </c>
      <c r="DF10" s="477"/>
      <c r="DG10" s="477"/>
      <c r="DH10" s="477"/>
      <c r="DI10" s="477"/>
      <c r="DJ10" s="244"/>
      <c r="DK10" s="1630"/>
      <c r="DL10" s="1070" t="str">
        <f t="shared" ref="DL10:DW11" si="3">CK10</f>
        <v>QTD</v>
      </c>
      <c r="DM10" s="1070" t="str">
        <f t="shared" si="3"/>
        <v>QTD</v>
      </c>
      <c r="DN10" s="1070" t="str">
        <f t="shared" si="3"/>
        <v>QTD</v>
      </c>
      <c r="DO10" s="1070" t="str">
        <f t="shared" si="3"/>
        <v>QTD</v>
      </c>
      <c r="DP10" s="1070" t="str">
        <f t="shared" si="3"/>
        <v>QTD</v>
      </c>
      <c r="DQ10" s="1070" t="str">
        <f t="shared" si="3"/>
        <v>QTD</v>
      </c>
      <c r="DR10" s="1070" t="str">
        <f t="shared" si="3"/>
        <v>QTD</v>
      </c>
      <c r="DS10" s="1070" t="str">
        <f t="shared" si="3"/>
        <v>QTD</v>
      </c>
      <c r="DT10" s="1070" t="str">
        <f t="shared" si="3"/>
        <v>QTD</v>
      </c>
      <c r="DU10" s="1070" t="str">
        <f t="shared" si="3"/>
        <v>QTD</v>
      </c>
      <c r="DV10" s="1070" t="str">
        <f t="shared" si="3"/>
        <v>QTD</v>
      </c>
      <c r="DW10" s="1070" t="str">
        <f t="shared" si="3"/>
        <v>QTD</v>
      </c>
      <c r="DX10" s="244"/>
      <c r="DY10" s="1173"/>
      <c r="DZ10" s="1174"/>
      <c r="EA10" s="1225" t="str">
        <f>AX10</f>
        <v>Kvartal 2</v>
      </c>
      <c r="EB10" s="1225" t="str">
        <f>AY10</f>
        <v>Kvartal 2</v>
      </c>
      <c r="EC10" s="261" t="s">
        <v>220</v>
      </c>
      <c r="ED10" s="261" t="s">
        <v>220</v>
      </c>
      <c r="EE10" s="1225" t="str">
        <f>BB10</f>
        <v>Kvartal 2, R12</v>
      </c>
      <c r="EF10" s="1225" t="str">
        <f>BC10</f>
        <v>Helår</v>
      </c>
      <c r="EK10" s="1173"/>
      <c r="EL10" s="1174"/>
      <c r="EM10" s="1225" t="s">
        <v>204</v>
      </c>
      <c r="EN10" s="1225" t="s">
        <v>204</v>
      </c>
      <c r="EO10" s="261" t="s">
        <v>220</v>
      </c>
      <c r="EP10" s="261" t="s">
        <v>220</v>
      </c>
      <c r="EQ10" s="1225" t="s">
        <v>205</v>
      </c>
      <c r="ER10" s="1225" t="s">
        <v>203</v>
      </c>
      <c r="EW10" s="1274" t="s">
        <v>206</v>
      </c>
      <c r="EX10" s="896" t="s">
        <v>198</v>
      </c>
      <c r="EY10" s="897"/>
      <c r="EZ10" s="896" t="s">
        <v>220</v>
      </c>
      <c r="FA10" s="897"/>
      <c r="FB10" s="898" t="s">
        <v>199</v>
      </c>
      <c r="FC10" s="898" t="s">
        <v>32</v>
      </c>
      <c r="FD10" s="310"/>
      <c r="FE10" s="310"/>
      <c r="FF10" s="2479" t="s">
        <v>208</v>
      </c>
      <c r="FG10" s="896" t="s">
        <v>200</v>
      </c>
      <c r="FH10" s="897"/>
      <c r="FI10" s="896" t="s">
        <v>201</v>
      </c>
      <c r="FJ10" s="897"/>
      <c r="FK10" s="898" t="s">
        <v>209</v>
      </c>
      <c r="FL10" s="898" t="s">
        <v>203</v>
      </c>
      <c r="FM10" s="310"/>
      <c r="FN10" s="2481" t="s">
        <v>741</v>
      </c>
      <c r="FP10" s="896" t="str">
        <f>EX10</f>
        <v>Kvartal 2</v>
      </c>
      <c r="FQ10" s="897"/>
      <c r="FR10" s="896" t="str">
        <f>EZ10</f>
        <v>Kvartal 1-2</v>
      </c>
      <c r="FS10" s="897"/>
      <c r="FT10" s="1486" t="str">
        <f>FB10</f>
        <v>Kvartal 2, R12</v>
      </c>
      <c r="FU10" s="2042" t="str">
        <f>FC10</f>
        <v>Helår</v>
      </c>
      <c r="FW10" s="1486" t="str">
        <f>FP10</f>
        <v>Kvartal 2</v>
      </c>
      <c r="FX10" s="1485"/>
      <c r="FY10" s="896" t="str">
        <f>FR10</f>
        <v>Kvartal 1-2</v>
      </c>
      <c r="FZ10" s="897"/>
      <c r="GA10" s="2042" t="str">
        <f t="shared" ref="GA10:GB12" si="4">FT10</f>
        <v>Kvartal 2, R12</v>
      </c>
      <c r="GB10" s="2042" t="str">
        <f t="shared" si="4"/>
        <v>Helår</v>
      </c>
      <c r="GC10" s="310"/>
      <c r="GD10" s="2481" t="s">
        <v>914</v>
      </c>
      <c r="GF10" s="1486" t="s">
        <v>200</v>
      </c>
      <c r="GG10" s="1485"/>
      <c r="GH10" s="896" t="s">
        <v>201</v>
      </c>
      <c r="GI10" s="897"/>
      <c r="GJ10" s="1486" t="s">
        <v>202</v>
      </c>
      <c r="GK10" s="2042" t="s">
        <v>203</v>
      </c>
      <c r="GM10" s="1486" t="str">
        <f>GF10</f>
        <v>Q2</v>
      </c>
      <c r="GN10" s="1485"/>
      <c r="GO10" s="896" t="str">
        <f>GH10</f>
        <v>Q1-Q2</v>
      </c>
      <c r="GP10" s="897"/>
      <c r="GQ10" s="1486" t="str">
        <f>GJ10</f>
        <v>Q2, R12</v>
      </c>
      <c r="GR10" s="2042" t="str">
        <f>GK10</f>
        <v>Full Year</v>
      </c>
      <c r="GU10" s="2014"/>
      <c r="GW10" s="2026"/>
      <c r="GX10" s="2026"/>
      <c r="GY10" s="2026"/>
      <c r="GZ10" s="2026"/>
      <c r="HA10" s="2026"/>
      <c r="HB10" s="2026"/>
      <c r="HC10" s="2026"/>
      <c r="HD10" s="2026"/>
      <c r="HE10" s="2026"/>
      <c r="HF10" s="2026"/>
      <c r="HG10" s="2026"/>
      <c r="HH10" s="2026"/>
      <c r="HJ10" s="2015" t="s">
        <v>198</v>
      </c>
      <c r="HK10" s="2015" t="s">
        <v>198</v>
      </c>
      <c r="HL10" s="2015" t="s">
        <v>220</v>
      </c>
      <c r="HM10" s="2015" t="s">
        <v>220</v>
      </c>
      <c r="HN10" s="2015" t="s">
        <v>199</v>
      </c>
      <c r="HO10" s="2016" t="str">
        <f>FC10</f>
        <v>Helår</v>
      </c>
      <c r="HP10" s="2003"/>
      <c r="HQ10" s="310"/>
      <c r="HR10" s="310"/>
      <c r="HS10" s="310"/>
      <c r="HT10" s="310"/>
      <c r="HU10" s="310"/>
      <c r="HV10" s="310"/>
      <c r="HW10" s="310"/>
      <c r="HX10" s="310"/>
      <c r="HY10" s="310"/>
      <c r="HZ10" s="892"/>
      <c r="IA10" s="2014"/>
      <c r="IB10" s="2015" t="s">
        <v>200</v>
      </c>
      <c r="IC10" s="2015" t="s">
        <v>200</v>
      </c>
      <c r="ID10" s="2015" t="s">
        <v>201</v>
      </c>
      <c r="IE10" s="2015" t="s">
        <v>201</v>
      </c>
      <c r="IF10" s="2015" t="s">
        <v>202</v>
      </c>
      <c r="IG10" s="2016" t="s">
        <v>203</v>
      </c>
      <c r="IH10" s="1149"/>
      <c r="IJ10" s="1678">
        <f t="shared" ref="IJ10:IJ23" si="5">IF(IN10=BP10,0,1)</f>
        <v>0</v>
      </c>
      <c r="IK10" s="264">
        <v>1</v>
      </c>
      <c r="IN10" s="261"/>
      <c r="IO10" s="261" t="str">
        <f>IZ10</f>
        <v>Enl IFRS</v>
      </c>
      <c r="IP10" s="261" t="str">
        <f t="shared" ref="IP10:IQ11" si="6">JA10</f>
        <v>Justering</v>
      </c>
      <c r="IQ10" s="261" t="str">
        <f t="shared" si="6"/>
        <v>Alternativt</v>
      </c>
      <c r="IT10" s="1678">
        <f t="shared" ref="IT10:IT23" si="7">IF(IX10=CI10,0,1)</f>
        <v>0</v>
      </c>
      <c r="IU10" s="264">
        <v>1</v>
      </c>
      <c r="IX10" s="260"/>
      <c r="IY10" s="266"/>
      <c r="IZ10" s="261" t="s">
        <v>213</v>
      </c>
      <c r="JA10" s="261" t="s">
        <v>214</v>
      </c>
      <c r="JB10" s="261" t="s">
        <v>215</v>
      </c>
      <c r="JF10" s="260"/>
      <c r="JG10" s="261" t="str">
        <f>IZ10</f>
        <v>Enl IFRS</v>
      </c>
      <c r="JH10" s="261" t="str">
        <f>JA10</f>
        <v>Justering</v>
      </c>
      <c r="JI10" s="261" t="str">
        <f>JB10</f>
        <v>Alternativt</v>
      </c>
      <c r="JM10" s="260"/>
      <c r="JN10" s="261" t="s">
        <v>26</v>
      </c>
      <c r="JO10" s="261" t="s">
        <v>216</v>
      </c>
      <c r="JP10" s="261" t="s">
        <v>217</v>
      </c>
    </row>
    <row r="11" spans="2:277" ht="18" customHeight="1" outlineLevel="1" x14ac:dyDescent="0.2">
      <c r="B11" s="264">
        <f>B10+1</f>
        <v>2</v>
      </c>
      <c r="D11" s="273" t="str">
        <f>+[2]rapkvart!$B5</f>
        <v>Mkr</v>
      </c>
      <c r="E11" s="274" t="str">
        <f>[2]rapkvart!C$5</f>
        <v>Not</v>
      </c>
      <c r="G11" s="932">
        <v>2403</v>
      </c>
      <c r="H11" s="932">
        <f>G11+3</f>
        <v>2406</v>
      </c>
      <c r="I11" s="932">
        <f t="shared" ref="I11:R11" si="8">H11+3</f>
        <v>2409</v>
      </c>
      <c r="J11" s="932">
        <f t="shared" si="8"/>
        <v>2412</v>
      </c>
      <c r="K11" s="932">
        <v>2503</v>
      </c>
      <c r="L11" s="932">
        <f t="shared" si="8"/>
        <v>2506</v>
      </c>
      <c r="M11" s="932">
        <f t="shared" si="8"/>
        <v>2509</v>
      </c>
      <c r="N11" s="932">
        <f t="shared" si="8"/>
        <v>2512</v>
      </c>
      <c r="O11" s="932">
        <v>2603</v>
      </c>
      <c r="P11" s="932">
        <f t="shared" si="8"/>
        <v>2606</v>
      </c>
      <c r="Q11" s="932">
        <f t="shared" si="8"/>
        <v>2609</v>
      </c>
      <c r="R11" s="932">
        <f t="shared" si="8"/>
        <v>2612</v>
      </c>
      <c r="S11" s="1121"/>
      <c r="T11" s="948">
        <v>2403</v>
      </c>
      <c r="U11" s="948">
        <f>T11+3</f>
        <v>2406</v>
      </c>
      <c r="V11" s="948">
        <f t="shared" ref="V11:AE11" si="9">U11+3</f>
        <v>2409</v>
      </c>
      <c r="W11" s="948">
        <f t="shared" si="9"/>
        <v>2412</v>
      </c>
      <c r="X11" s="948">
        <v>2503</v>
      </c>
      <c r="Y11" s="948">
        <f t="shared" si="9"/>
        <v>2506</v>
      </c>
      <c r="Z11" s="948">
        <f t="shared" si="9"/>
        <v>2509</v>
      </c>
      <c r="AA11" s="948">
        <f t="shared" si="9"/>
        <v>2512</v>
      </c>
      <c r="AB11" s="948">
        <v>2603</v>
      </c>
      <c r="AC11" s="948">
        <f t="shared" si="9"/>
        <v>2606</v>
      </c>
      <c r="AD11" s="948">
        <f t="shared" si="9"/>
        <v>2609</v>
      </c>
      <c r="AE11" s="948">
        <f t="shared" si="9"/>
        <v>2612</v>
      </c>
      <c r="AH11" s="948">
        <f>T11</f>
        <v>2403</v>
      </c>
      <c r="AI11" s="948">
        <f t="shared" ref="AI11:AS11" si="10">U11</f>
        <v>2406</v>
      </c>
      <c r="AJ11" s="948">
        <f t="shared" si="10"/>
        <v>2409</v>
      </c>
      <c r="AK11" s="948">
        <f t="shared" si="10"/>
        <v>2412</v>
      </c>
      <c r="AL11" s="948">
        <f t="shared" si="10"/>
        <v>2503</v>
      </c>
      <c r="AM11" s="948">
        <f t="shared" si="10"/>
        <v>2506</v>
      </c>
      <c r="AN11" s="948">
        <f t="shared" si="10"/>
        <v>2509</v>
      </c>
      <c r="AO11" s="948">
        <f t="shared" si="10"/>
        <v>2512</v>
      </c>
      <c r="AP11" s="948">
        <f t="shared" si="10"/>
        <v>2603</v>
      </c>
      <c r="AQ11" s="948">
        <f t="shared" si="10"/>
        <v>2606</v>
      </c>
      <c r="AR11" s="948">
        <f t="shared" si="10"/>
        <v>2609</v>
      </c>
      <c r="AS11" s="948">
        <f t="shared" si="10"/>
        <v>2612</v>
      </c>
      <c r="AV11" s="1690" t="str">
        <f>D11</f>
        <v>Mkr</v>
      </c>
      <c r="AW11" s="1980" t="str">
        <f>E11</f>
        <v>Not</v>
      </c>
      <c r="AX11" s="948">
        <v>2026</v>
      </c>
      <c r="AY11" s="948">
        <v>2025</v>
      </c>
      <c r="AZ11" s="948">
        <f>[2]rapkvart!F$5</f>
        <v>2026</v>
      </c>
      <c r="BA11" s="948">
        <f>[2]rapkvart!G$5</f>
        <v>2025</v>
      </c>
      <c r="BB11" s="948">
        <f>AX11</f>
        <v>2026</v>
      </c>
      <c r="BC11" s="948">
        <f>AY11</f>
        <v>2025</v>
      </c>
      <c r="BE11" s="273" t="s">
        <v>218</v>
      </c>
      <c r="BF11" s="274" t="s">
        <v>219</v>
      </c>
      <c r="BG11" s="948">
        <f t="shared" ref="BG11:BG19" si="11">AX11</f>
        <v>2026</v>
      </c>
      <c r="BH11" s="948">
        <f t="shared" ref="BH11:BH19" si="12">AY11</f>
        <v>2025</v>
      </c>
      <c r="BI11" s="948">
        <f t="shared" ref="BI11:BI19" si="13">AZ11</f>
        <v>2026</v>
      </c>
      <c r="BJ11" s="948">
        <f t="shared" ref="BJ11:BJ19" si="14">BA11</f>
        <v>2025</v>
      </c>
      <c r="BK11" s="948">
        <f t="shared" ref="BK11:BK19" si="15">BB11</f>
        <v>2026</v>
      </c>
      <c r="BL11" s="948">
        <f t="shared" ref="BL11:BL19" si="16">BC11</f>
        <v>2025</v>
      </c>
      <c r="BP11" s="273"/>
      <c r="BQ11" s="948">
        <f t="shared" si="0"/>
        <v>2403</v>
      </c>
      <c r="BR11" s="948">
        <f t="shared" si="0"/>
        <v>2406</v>
      </c>
      <c r="BS11" s="948">
        <f t="shared" si="0"/>
        <v>2409</v>
      </c>
      <c r="BT11" s="948">
        <f t="shared" si="0"/>
        <v>2412</v>
      </c>
      <c r="BU11" s="948">
        <f t="shared" si="0"/>
        <v>2503</v>
      </c>
      <c r="BV11" s="948">
        <f t="shared" si="0"/>
        <v>2506</v>
      </c>
      <c r="BW11" s="948">
        <f t="shared" si="0"/>
        <v>2509</v>
      </c>
      <c r="BX11" s="948">
        <f t="shared" si="0"/>
        <v>2512</v>
      </c>
      <c r="BY11" s="948">
        <f t="shared" si="0"/>
        <v>2603</v>
      </c>
      <c r="BZ11" s="948">
        <f t="shared" si="0"/>
        <v>2606</v>
      </c>
      <c r="CA11" s="948">
        <f t="shared" si="0"/>
        <v>2609</v>
      </c>
      <c r="CB11" s="948">
        <f t="shared" si="0"/>
        <v>2612</v>
      </c>
      <c r="CE11" s="242"/>
      <c r="CF11" s="264">
        <f>CF10+1</f>
        <v>2</v>
      </c>
      <c r="CG11" s="242"/>
      <c r="CH11" s="242"/>
      <c r="CI11" s="273" t="str">
        <f>+D11</f>
        <v>Mkr</v>
      </c>
      <c r="CJ11" s="274"/>
      <c r="CK11" s="948">
        <f t="shared" si="1"/>
        <v>2403</v>
      </c>
      <c r="CL11" s="948">
        <f t="shared" si="1"/>
        <v>2406</v>
      </c>
      <c r="CM11" s="948">
        <f t="shared" si="1"/>
        <v>2409</v>
      </c>
      <c r="CN11" s="948">
        <f t="shared" si="1"/>
        <v>2412</v>
      </c>
      <c r="CO11" s="948">
        <f t="shared" si="1"/>
        <v>2503</v>
      </c>
      <c r="CP11" s="948">
        <f t="shared" si="1"/>
        <v>2506</v>
      </c>
      <c r="CQ11" s="948">
        <f t="shared" si="1"/>
        <v>2509</v>
      </c>
      <c r="CR11" s="948">
        <f t="shared" si="1"/>
        <v>2512</v>
      </c>
      <c r="CS11" s="948">
        <f t="shared" si="1"/>
        <v>2603</v>
      </c>
      <c r="CT11" s="948">
        <f t="shared" si="1"/>
        <v>2606</v>
      </c>
      <c r="CU11" s="948">
        <f t="shared" si="1"/>
        <v>2609</v>
      </c>
      <c r="CV11" s="948">
        <f t="shared" si="1"/>
        <v>2612</v>
      </c>
      <c r="CW11" s="1122"/>
      <c r="CX11" s="948">
        <f t="shared" si="2"/>
        <v>2503</v>
      </c>
      <c r="CY11" s="948">
        <f t="shared" si="2"/>
        <v>2506</v>
      </c>
      <c r="CZ11" s="948">
        <f t="shared" si="2"/>
        <v>2509</v>
      </c>
      <c r="DA11" s="948">
        <f t="shared" si="2"/>
        <v>2512</v>
      </c>
      <c r="DB11" s="948">
        <f t="shared" si="2"/>
        <v>2603</v>
      </c>
      <c r="DC11" s="948">
        <f t="shared" si="2"/>
        <v>2606</v>
      </c>
      <c r="DD11" s="948">
        <f t="shared" si="2"/>
        <v>2609</v>
      </c>
      <c r="DE11" s="948">
        <f t="shared" si="2"/>
        <v>2612</v>
      </c>
      <c r="DF11" s="1122"/>
      <c r="DG11" s="1122"/>
      <c r="DH11" s="1122"/>
      <c r="DI11" s="1122"/>
      <c r="DJ11" s="244"/>
      <c r="DK11" s="1631"/>
      <c r="DL11" s="1123">
        <f t="shared" si="3"/>
        <v>2403</v>
      </c>
      <c r="DM11" s="1123">
        <f t="shared" si="3"/>
        <v>2406</v>
      </c>
      <c r="DN11" s="1123">
        <f t="shared" si="3"/>
        <v>2409</v>
      </c>
      <c r="DO11" s="1123">
        <f t="shared" si="3"/>
        <v>2412</v>
      </c>
      <c r="DP11" s="1123">
        <f t="shared" si="3"/>
        <v>2503</v>
      </c>
      <c r="DQ11" s="1123">
        <f t="shared" si="3"/>
        <v>2506</v>
      </c>
      <c r="DR11" s="1123">
        <f t="shared" si="3"/>
        <v>2509</v>
      </c>
      <c r="DS11" s="1123">
        <f t="shared" si="3"/>
        <v>2512</v>
      </c>
      <c r="DT11" s="1123">
        <f t="shared" si="3"/>
        <v>2603</v>
      </c>
      <c r="DU11" s="1123">
        <f t="shared" si="3"/>
        <v>2606</v>
      </c>
      <c r="DV11" s="1123">
        <f t="shared" si="3"/>
        <v>2609</v>
      </c>
      <c r="DW11" s="1123">
        <f t="shared" si="3"/>
        <v>2612</v>
      </c>
      <c r="DX11" s="244"/>
      <c r="DY11" s="1175"/>
      <c r="DZ11" s="1176"/>
      <c r="EA11" s="948">
        <f>AX11</f>
        <v>2026</v>
      </c>
      <c r="EB11" s="948">
        <f>AY11</f>
        <v>2025</v>
      </c>
      <c r="EC11" s="948">
        <v>2026</v>
      </c>
      <c r="ED11" s="948">
        <v>2025</v>
      </c>
      <c r="EE11" s="948">
        <f>BB11</f>
        <v>2026</v>
      </c>
      <c r="EF11" s="948">
        <f>BC11</f>
        <v>2025</v>
      </c>
      <c r="EK11" s="1175" t="str">
        <f>+[2]rapkvart!$A5</f>
        <v>MSEK</v>
      </c>
      <c r="EL11" s="2335" t="s">
        <v>219</v>
      </c>
      <c r="EM11" s="948">
        <f>EA11</f>
        <v>2026</v>
      </c>
      <c r="EN11" s="948">
        <f t="shared" ref="EN11:EN12" si="17">EB11</f>
        <v>2025</v>
      </c>
      <c r="EO11" s="948">
        <v>2026</v>
      </c>
      <c r="EP11" s="948">
        <v>2025</v>
      </c>
      <c r="EQ11" s="948">
        <f t="shared" ref="EQ11:EQ12" si="18">EE11</f>
        <v>2026</v>
      </c>
      <c r="ER11" s="948">
        <f t="shared" ref="ER11:ER12" si="19">EF11</f>
        <v>2025</v>
      </c>
      <c r="EW11" s="899"/>
      <c r="EX11" s="900">
        <v>2026</v>
      </c>
      <c r="EY11" s="900">
        <v>2025</v>
      </c>
      <c r="EZ11" s="900">
        <v>2026</v>
      </c>
      <c r="FA11" s="900">
        <v>2025</v>
      </c>
      <c r="FB11" s="900">
        <f>EX11</f>
        <v>2026</v>
      </c>
      <c r="FC11" s="900">
        <f>EY11</f>
        <v>2025</v>
      </c>
      <c r="FD11" s="310"/>
      <c r="FE11" s="310"/>
      <c r="FF11" s="2480"/>
      <c r="FG11" s="900">
        <f t="shared" ref="FG11:FL12" si="20">EX11</f>
        <v>2026</v>
      </c>
      <c r="FH11" s="900">
        <f t="shared" si="20"/>
        <v>2025</v>
      </c>
      <c r="FI11" s="900">
        <f t="shared" si="20"/>
        <v>2026</v>
      </c>
      <c r="FJ11" s="900">
        <f t="shared" si="20"/>
        <v>2025</v>
      </c>
      <c r="FK11" s="900">
        <f t="shared" si="20"/>
        <v>2026</v>
      </c>
      <c r="FL11" s="900">
        <f t="shared" si="20"/>
        <v>2025</v>
      </c>
      <c r="FM11" s="310"/>
      <c r="FN11" s="2482"/>
      <c r="FP11" s="900">
        <f>EX11</f>
        <v>2026</v>
      </c>
      <c r="FQ11" s="900">
        <f t="shared" ref="FQ11:FU12" si="21">EY11</f>
        <v>2025</v>
      </c>
      <c r="FR11" s="900">
        <f t="shared" si="21"/>
        <v>2026</v>
      </c>
      <c r="FS11" s="900">
        <f t="shared" si="21"/>
        <v>2025</v>
      </c>
      <c r="FT11" s="900">
        <f t="shared" si="21"/>
        <v>2026</v>
      </c>
      <c r="FU11" s="900">
        <f t="shared" si="21"/>
        <v>2025</v>
      </c>
      <c r="FW11" s="900">
        <f>FP11</f>
        <v>2026</v>
      </c>
      <c r="FX11" s="900">
        <f>FQ11</f>
        <v>2025</v>
      </c>
      <c r="FY11" s="900">
        <f>FR11</f>
        <v>2026</v>
      </c>
      <c r="FZ11" s="900">
        <f>FS11</f>
        <v>2025</v>
      </c>
      <c r="GA11" s="900">
        <f t="shared" si="4"/>
        <v>2026</v>
      </c>
      <c r="GB11" s="900">
        <f t="shared" si="4"/>
        <v>2025</v>
      </c>
      <c r="GC11" s="310"/>
      <c r="GD11" s="2482"/>
      <c r="GF11" s="900">
        <v>2026</v>
      </c>
      <c r="GG11" s="900">
        <v>2025</v>
      </c>
      <c r="GH11" s="900">
        <v>2026</v>
      </c>
      <c r="GI11" s="900">
        <v>2025</v>
      </c>
      <c r="GJ11" s="900">
        <v>2026</v>
      </c>
      <c r="GK11" s="900">
        <v>2025</v>
      </c>
      <c r="GM11" s="900">
        <v>2026</v>
      </c>
      <c r="GN11" s="900">
        <v>2025</v>
      </c>
      <c r="GO11" s="900">
        <v>2026</v>
      </c>
      <c r="GP11" s="900">
        <v>2025</v>
      </c>
      <c r="GQ11" s="900">
        <v>2026</v>
      </c>
      <c r="GR11" s="900">
        <v>2025</v>
      </c>
      <c r="GU11" s="1985" t="s">
        <v>225</v>
      </c>
      <c r="GW11" s="1988">
        <f t="shared" ref="GW11:HH11" si="22">CK11</f>
        <v>2403</v>
      </c>
      <c r="GX11" s="1988">
        <f t="shared" si="22"/>
        <v>2406</v>
      </c>
      <c r="GY11" s="1988">
        <f t="shared" si="22"/>
        <v>2409</v>
      </c>
      <c r="GZ11" s="1988">
        <f t="shared" si="22"/>
        <v>2412</v>
      </c>
      <c r="HA11" s="1988">
        <f t="shared" si="22"/>
        <v>2503</v>
      </c>
      <c r="HB11" s="1988">
        <f t="shared" si="22"/>
        <v>2506</v>
      </c>
      <c r="HC11" s="1988">
        <f t="shared" si="22"/>
        <v>2509</v>
      </c>
      <c r="HD11" s="1988">
        <f t="shared" si="22"/>
        <v>2512</v>
      </c>
      <c r="HE11" s="1988">
        <f t="shared" si="22"/>
        <v>2603</v>
      </c>
      <c r="HF11" s="1988">
        <f t="shared" si="22"/>
        <v>2606</v>
      </c>
      <c r="HG11" s="1988">
        <f t="shared" si="22"/>
        <v>2609</v>
      </c>
      <c r="HH11" s="1988">
        <f t="shared" si="22"/>
        <v>2612</v>
      </c>
      <c r="HJ11" s="2024">
        <v>2026</v>
      </c>
      <c r="HK11" s="2024">
        <v>2025</v>
      </c>
      <c r="HL11" s="2024">
        <f>HJ11</f>
        <v>2026</v>
      </c>
      <c r="HM11" s="2024">
        <f>HK11</f>
        <v>2025</v>
      </c>
      <c r="HN11" s="2024">
        <v>2026</v>
      </c>
      <c r="HO11" s="2025">
        <f>FC11</f>
        <v>2025</v>
      </c>
      <c r="HP11" s="2003"/>
      <c r="HQ11" s="310"/>
      <c r="HR11" s="310"/>
      <c r="HS11" s="310"/>
      <c r="HT11" s="310"/>
      <c r="HU11" s="310"/>
      <c r="HV11" s="310"/>
      <c r="HW11" s="310"/>
      <c r="HX11" s="310"/>
      <c r="HY11" s="310"/>
      <c r="HZ11" s="892"/>
      <c r="IA11" s="1985" t="s">
        <v>226</v>
      </c>
      <c r="IB11" s="2024">
        <v>2026</v>
      </c>
      <c r="IC11" s="2024">
        <v>2025</v>
      </c>
      <c r="ID11" s="2024">
        <v>2026</v>
      </c>
      <c r="IE11" s="2024">
        <v>2025</v>
      </c>
      <c r="IF11" s="2024">
        <v>2026</v>
      </c>
      <c r="IG11" s="2025">
        <v>2025</v>
      </c>
      <c r="IH11" s="1148"/>
      <c r="II11" s="269"/>
      <c r="IJ11" s="1678">
        <f t="shared" si="5"/>
        <v>0</v>
      </c>
      <c r="IK11" s="264">
        <f t="shared" ref="IK11:IK48" si="23">IK10+1</f>
        <v>2</v>
      </c>
      <c r="IN11" s="275"/>
      <c r="IO11" s="261" t="str">
        <f>IZ11</f>
        <v>Kvartal 2, 2026</v>
      </c>
      <c r="IP11" s="261">
        <f t="shared" si="6"/>
        <v>0</v>
      </c>
      <c r="IQ11" s="261" t="str">
        <f t="shared" si="6"/>
        <v>Kvartal 2, 2026</v>
      </c>
      <c r="IT11" s="1678">
        <f t="shared" si="7"/>
        <v>0</v>
      </c>
      <c r="IU11" s="264">
        <f t="shared" ref="IU11:IU48" si="24">IU10+1</f>
        <v>2</v>
      </c>
      <c r="IX11" s="273" t="s">
        <v>221</v>
      </c>
      <c r="IY11" s="274"/>
      <c r="IZ11" s="275" t="s">
        <v>222</v>
      </c>
      <c r="JA11" s="275"/>
      <c r="JB11" s="275" t="str">
        <f>IZ11</f>
        <v>Kvartal 2, 2026</v>
      </c>
      <c r="JF11" s="273"/>
      <c r="JG11" s="275" t="str">
        <f t="shared" ref="JG11:JG16" si="25">IZ11</f>
        <v>Kvartal 2, 2026</v>
      </c>
      <c r="JH11" s="275"/>
      <c r="JI11" s="275" t="str">
        <f t="shared" ref="JI11:JI16" si="26">JB11</f>
        <v>Kvartal 2, 2026</v>
      </c>
      <c r="JM11" s="273"/>
      <c r="JN11" s="275" t="s">
        <v>683</v>
      </c>
      <c r="JO11" s="275"/>
      <c r="JP11" s="275" t="s">
        <v>683</v>
      </c>
    </row>
    <row r="12" spans="2:277" s="269" customFormat="1" outlineLevel="1" x14ac:dyDescent="0.2">
      <c r="B12" s="264">
        <f t="shared" ref="B12:B58" si="27">B11+1</f>
        <v>3</v>
      </c>
      <c r="D12" s="278" t="str">
        <f>+[2]rapkvart!$B6</f>
        <v>Intäkter</v>
      </c>
      <c r="E12" s="278"/>
      <c r="G12" s="1071">
        <f>[2]rapkvart!S6</f>
        <v>581.20000000000005</v>
      </c>
      <c r="H12" s="1071">
        <f>[2]rapkvart!T6</f>
        <v>1185.7</v>
      </c>
      <c r="I12" s="1071">
        <f>[2]rapkvart!U6</f>
        <v>1692.3</v>
      </c>
      <c r="J12" s="1071">
        <f>[2]rapkvart!V6</f>
        <v>2271.8000000000002</v>
      </c>
      <c r="K12" s="1071">
        <f>[2]rapkvart!O6</f>
        <v>639.6</v>
      </c>
      <c r="L12" s="1071">
        <f>[2]rapkvart!P6</f>
        <v>1311.6</v>
      </c>
      <c r="M12" s="1071">
        <f>[2]rapkvart!Q6</f>
        <v>1809.4</v>
      </c>
      <c r="N12" s="1071">
        <f>[2]rapkvart!R6</f>
        <v>2329.8000000000002</v>
      </c>
      <c r="O12" s="1071">
        <f>[2]rapkvart!K6</f>
        <v>609.6</v>
      </c>
      <c r="P12" s="1071">
        <f>[2]rapkvart!L6</f>
        <v>1294.3</v>
      </c>
      <c r="Q12" s="1071">
        <f>[2]rapkvart!M6</f>
        <v>1809.4</v>
      </c>
      <c r="R12" s="1071">
        <f>[2]rapkvart!N6</f>
        <v>2329.8000000000002</v>
      </c>
      <c r="S12" s="1072"/>
      <c r="T12" s="1073">
        <f>[2]rapkvart!AE6</f>
        <v>581.20000000000005</v>
      </c>
      <c r="U12" s="1073">
        <f>[2]rapkvart!AF6</f>
        <v>604.5</v>
      </c>
      <c r="V12" s="1073">
        <f>[2]rapkvart!AG6</f>
        <v>506.59999999999991</v>
      </c>
      <c r="W12" s="1073">
        <f>[2]rapkvart!AH6</f>
        <v>579.50000000000023</v>
      </c>
      <c r="X12" s="1073">
        <f>[2]rapkvart!AA6</f>
        <v>639.6</v>
      </c>
      <c r="Y12" s="1073">
        <f>[2]rapkvart!AB6</f>
        <v>671.99999999999989</v>
      </c>
      <c r="Z12" s="1073">
        <f>[2]rapkvart!AC6</f>
        <v>497.80000000000018</v>
      </c>
      <c r="AA12" s="1073">
        <f>[2]rapkvart!AD6</f>
        <v>520.40000000000009</v>
      </c>
      <c r="AB12" s="1073">
        <f>[2]rapkvart!W6</f>
        <v>609.6</v>
      </c>
      <c r="AC12" s="1073">
        <f>[2]rapkvart!X6</f>
        <v>684.69999999999993</v>
      </c>
      <c r="AD12" s="1073">
        <f>[2]rapkvart!Y6</f>
        <v>515.10000000000014</v>
      </c>
      <c r="AE12" s="1073">
        <f>[2]rapkvart!Z6</f>
        <v>520.40000000000009</v>
      </c>
      <c r="AV12" s="1177" t="str">
        <f t="shared" ref="AV12:AV42" si="28">D12</f>
        <v>Intäkter</v>
      </c>
      <c r="AW12" s="1178"/>
      <c r="AX12" s="1226">
        <f t="shared" ref="AX12:AX19" si="29">$AC12</f>
        <v>684.69999999999993</v>
      </c>
      <c r="AY12" s="1227">
        <f t="shared" ref="AY12:AY19" si="30">$Y12</f>
        <v>671.99999999999989</v>
      </c>
      <c r="AZ12" s="1226">
        <f t="shared" ref="AZ12:AZ19" si="31">P12</f>
        <v>1294.3</v>
      </c>
      <c r="BA12" s="1227">
        <f t="shared" ref="BA12:BA19" si="32">L12</f>
        <v>1311.6</v>
      </c>
      <c r="BB12" s="1226">
        <f t="shared" ref="BB12:BB19" si="33">SUM(Z12:AC12)</f>
        <v>2312.5</v>
      </c>
      <c r="BC12" s="1227">
        <f t="shared" ref="BC12:BC19" si="34">N12</f>
        <v>2329.8000000000002</v>
      </c>
      <c r="BE12" s="1177" t="s">
        <v>223</v>
      </c>
      <c r="BF12" s="1178"/>
      <c r="BG12" s="1226">
        <f t="shared" si="11"/>
        <v>684.69999999999993</v>
      </c>
      <c r="BH12" s="1227">
        <f t="shared" si="12"/>
        <v>671.99999999999989</v>
      </c>
      <c r="BI12" s="1226">
        <f t="shared" si="13"/>
        <v>1294.3</v>
      </c>
      <c r="BJ12" s="1227">
        <f t="shared" si="14"/>
        <v>1311.6</v>
      </c>
      <c r="BK12" s="1226">
        <f t="shared" si="15"/>
        <v>2312.5</v>
      </c>
      <c r="BL12" s="1227">
        <f t="shared" si="16"/>
        <v>2329.8000000000002</v>
      </c>
      <c r="BN12" s="242"/>
      <c r="BP12" s="279" t="str">
        <f>CI12</f>
        <v>Intäkter</v>
      </c>
      <c r="BQ12" s="280"/>
      <c r="BR12" s="279"/>
      <c r="BS12" s="279"/>
      <c r="BT12" s="279"/>
      <c r="BU12" s="279"/>
      <c r="BV12" s="279"/>
      <c r="BW12" s="279"/>
      <c r="BX12" s="279"/>
      <c r="BY12" s="279"/>
      <c r="BZ12" s="279"/>
      <c r="CA12" s="279"/>
      <c r="CB12" s="279"/>
      <c r="CD12" s="242"/>
      <c r="CE12" s="1288">
        <f t="shared" ref="CE12:CE23" si="35">IF(CI12=D12,0,1)</f>
        <v>0</v>
      </c>
      <c r="CF12" s="281">
        <f t="shared" ref="CF12:CF58" si="36">CF11+1</f>
        <v>3</v>
      </c>
      <c r="CH12" s="1608"/>
      <c r="CI12" s="1021" t="s">
        <v>224</v>
      </c>
      <c r="CJ12" s="1022"/>
      <c r="CK12" s="1030">
        <f t="shared" ref="CK12:CV13" si="37">T12+BQ12</f>
        <v>581.20000000000005</v>
      </c>
      <c r="CL12" s="1030">
        <f t="shared" si="37"/>
        <v>604.5</v>
      </c>
      <c r="CM12" s="1030">
        <f t="shared" si="37"/>
        <v>506.59999999999991</v>
      </c>
      <c r="CN12" s="1030">
        <f t="shared" si="37"/>
        <v>579.50000000000023</v>
      </c>
      <c r="CO12" s="1030">
        <f t="shared" si="37"/>
        <v>639.6</v>
      </c>
      <c r="CP12" s="1030">
        <f t="shared" si="37"/>
        <v>671.99999999999989</v>
      </c>
      <c r="CQ12" s="1030">
        <f t="shared" si="37"/>
        <v>497.80000000000018</v>
      </c>
      <c r="CR12" s="1030">
        <f t="shared" si="37"/>
        <v>520.40000000000009</v>
      </c>
      <c r="CS12" s="1030">
        <f t="shared" si="37"/>
        <v>609.6</v>
      </c>
      <c r="CT12" s="1030">
        <f t="shared" si="37"/>
        <v>684.69999999999993</v>
      </c>
      <c r="CU12" s="1030">
        <f t="shared" si="37"/>
        <v>515.10000000000014</v>
      </c>
      <c r="CV12" s="1030">
        <f t="shared" si="37"/>
        <v>520.40000000000009</v>
      </c>
      <c r="CW12" s="369"/>
      <c r="CX12" s="369"/>
      <c r="CY12" s="369"/>
      <c r="CZ12" s="369"/>
      <c r="DA12" s="369"/>
      <c r="DB12" s="369"/>
      <c r="DC12" s="369"/>
      <c r="DD12" s="369"/>
      <c r="DE12" s="369"/>
      <c r="DF12" s="369"/>
      <c r="DG12" s="369"/>
      <c r="DH12" s="369"/>
      <c r="DI12" s="369"/>
      <c r="DJ12" s="244"/>
      <c r="DK12" s="1632"/>
      <c r="DL12" s="217">
        <f t="shared" ref="DL12:DL58" si="38">CK12-T12</f>
        <v>0</v>
      </c>
      <c r="DM12" s="217">
        <f t="shared" ref="DM12:DM58" si="39">CL12-U12</f>
        <v>0</v>
      </c>
      <c r="DN12" s="217">
        <f t="shared" ref="DN12:DN58" si="40">CM12-V12</f>
        <v>0</v>
      </c>
      <c r="DO12" s="217">
        <f t="shared" ref="DO12:DO58" si="41">CN12-W12</f>
        <v>0</v>
      </c>
      <c r="DP12" s="217">
        <f t="shared" ref="DP12:DP58" si="42">CO12-X12</f>
        <v>0</v>
      </c>
      <c r="DQ12" s="217">
        <f t="shared" ref="DQ12:DQ58" si="43">CP12-Y12</f>
        <v>0</v>
      </c>
      <c r="DR12" s="217">
        <f t="shared" ref="DR12:DR58" si="44">CQ12-Z12</f>
        <v>0</v>
      </c>
      <c r="DS12" s="217">
        <f t="shared" ref="DS12:DS58" si="45">CR12-AA12</f>
        <v>0</v>
      </c>
      <c r="DT12" s="217">
        <f t="shared" ref="DT12:DT58" si="46">CS12-AB12</f>
        <v>0</v>
      </c>
      <c r="DU12" s="217">
        <f t="shared" ref="DU12:DU58" si="47">CT12-AC12</f>
        <v>0</v>
      </c>
      <c r="DV12" s="217">
        <f t="shared" ref="DV12:DV58" si="48">CU12-AD12</f>
        <v>0</v>
      </c>
      <c r="DW12" s="217">
        <f t="shared" ref="DW12:DW58" si="49">CV12-AE12</f>
        <v>0</v>
      </c>
      <c r="DX12" s="244"/>
      <c r="DY12" s="1183" t="str">
        <f>CI12</f>
        <v>Intäkter</v>
      </c>
      <c r="DZ12" s="1182"/>
      <c r="EA12" s="1232">
        <f>SUM(CT12)</f>
        <v>684.69999999999993</v>
      </c>
      <c r="EB12" s="1233">
        <f>SUM(CP12)</f>
        <v>671.99999999999989</v>
      </c>
      <c r="EC12" s="1232">
        <f>SUM(CS12:CT12)</f>
        <v>1294.3</v>
      </c>
      <c r="ED12" s="1233">
        <f>SUM(CO12:CP12)</f>
        <v>1311.6</v>
      </c>
      <c r="EE12" s="1232">
        <f>SUM(CQ12:CT12)</f>
        <v>2312.5</v>
      </c>
      <c r="EF12" s="1233">
        <f>SUM(CO12:CR12)</f>
        <v>2329.8000000000002</v>
      </c>
      <c r="EH12" s="242"/>
      <c r="EI12" s="242"/>
      <c r="EK12" s="1177" t="s">
        <v>223</v>
      </c>
      <c r="EL12" s="2336"/>
      <c r="EM12" s="1226">
        <f>EA12</f>
        <v>684.69999999999993</v>
      </c>
      <c r="EN12" s="1227">
        <f t="shared" si="17"/>
        <v>671.99999999999989</v>
      </c>
      <c r="EO12" s="1226">
        <f t="shared" ref="EO12:EP12" si="50">EC12</f>
        <v>1294.3</v>
      </c>
      <c r="EP12" s="1227">
        <f t="shared" si="50"/>
        <v>1311.6</v>
      </c>
      <c r="EQ12" s="1226">
        <f t="shared" si="18"/>
        <v>2312.5</v>
      </c>
      <c r="ER12" s="1227">
        <f t="shared" si="19"/>
        <v>2329.8000000000002</v>
      </c>
      <c r="ET12" s="242"/>
      <c r="EU12" s="242"/>
      <c r="EV12" s="242"/>
      <c r="EW12" s="907" t="s">
        <v>2</v>
      </c>
      <c r="EX12" s="908">
        <f>HJ12</f>
        <v>684.69999999999993</v>
      </c>
      <c r="EY12" s="909">
        <f t="shared" ref="EY12:FC12" si="51">HK12</f>
        <v>671.99999999999989</v>
      </c>
      <c r="EZ12" s="908">
        <f t="shared" si="51"/>
        <v>1294.3</v>
      </c>
      <c r="FA12" s="909">
        <f t="shared" si="51"/>
        <v>1311.6</v>
      </c>
      <c r="FB12" s="2032">
        <f t="shared" si="51"/>
        <v>2312.5</v>
      </c>
      <c r="FC12" s="908">
        <f t="shared" si="51"/>
        <v>2329.8000000000002</v>
      </c>
      <c r="FD12" s="310"/>
      <c r="FE12" s="310"/>
      <c r="FF12" s="901" t="s">
        <v>223</v>
      </c>
      <c r="FG12" s="908">
        <f t="shared" si="20"/>
        <v>684.69999999999993</v>
      </c>
      <c r="FH12" s="909">
        <f t="shared" ref="FH12:FH13" si="52">EY12</f>
        <v>671.99999999999989</v>
      </c>
      <c r="FI12" s="908">
        <f t="shared" ref="FI12:FI13" si="53">EZ12</f>
        <v>1294.3</v>
      </c>
      <c r="FJ12" s="909">
        <f t="shared" ref="FJ12:FJ13" si="54">FA12</f>
        <v>1311.6</v>
      </c>
      <c r="FK12" s="2032">
        <f t="shared" ref="FK12:FK13" si="55">FB12</f>
        <v>2312.5</v>
      </c>
      <c r="FL12" s="908">
        <f t="shared" ref="FL12:FL13" si="56">FC12</f>
        <v>2329.8000000000002</v>
      </c>
      <c r="FM12" s="310"/>
      <c r="FN12" s="2155" t="str">
        <f>EW12</f>
        <v>Intäkter, Mkr</v>
      </c>
      <c r="FO12" s="242"/>
      <c r="FP12" s="2163">
        <f>EX12</f>
        <v>684.69999999999993</v>
      </c>
      <c r="FQ12" s="2164">
        <f t="shared" si="21"/>
        <v>671.99999999999989</v>
      </c>
      <c r="FR12" s="2163">
        <f t="shared" si="21"/>
        <v>1294.3</v>
      </c>
      <c r="FS12" s="2164">
        <f t="shared" si="21"/>
        <v>1311.6</v>
      </c>
      <c r="FT12" s="2163">
        <f t="shared" si="21"/>
        <v>2312.5</v>
      </c>
      <c r="FU12" s="2164">
        <f t="shared" si="21"/>
        <v>2329.8000000000002</v>
      </c>
      <c r="FV12" s="2235"/>
      <c r="FW12" s="2163">
        <f>FP12</f>
        <v>684.69999999999993</v>
      </c>
      <c r="FX12" s="2164">
        <f>FQ12</f>
        <v>671.99999999999989</v>
      </c>
      <c r="FY12" s="2163">
        <f>FR12</f>
        <v>1294.3</v>
      </c>
      <c r="FZ12" s="2164">
        <f>FS12</f>
        <v>1311.6</v>
      </c>
      <c r="GA12" s="2159">
        <f t="shared" si="4"/>
        <v>2312.5</v>
      </c>
      <c r="GB12" s="2160">
        <f t="shared" si="4"/>
        <v>2329.8000000000002</v>
      </c>
      <c r="GC12" s="310"/>
      <c r="GD12" s="1577" t="s">
        <v>223</v>
      </c>
      <c r="GE12" s="242"/>
      <c r="GF12" s="2339">
        <f t="shared" ref="GF12" si="57">FP12</f>
        <v>684.69999999999993</v>
      </c>
      <c r="GG12" s="2340">
        <f t="shared" ref="GG12" si="58">FQ12</f>
        <v>671.99999999999989</v>
      </c>
      <c r="GH12" s="2339">
        <f t="shared" ref="GH12" si="59">FR12</f>
        <v>1294.3</v>
      </c>
      <c r="GI12" s="2340">
        <f t="shared" ref="GI12" si="60">FS12</f>
        <v>1311.6</v>
      </c>
      <c r="GJ12" s="908">
        <f t="shared" ref="GJ12" si="61">FT12</f>
        <v>2312.5</v>
      </c>
      <c r="GK12" s="2032">
        <f t="shared" ref="GK12" si="62">FU12</f>
        <v>2329.8000000000002</v>
      </c>
      <c r="GL12" s="242"/>
      <c r="GM12" s="2339">
        <f t="shared" ref="GM12" si="63">FW12</f>
        <v>684.69999999999993</v>
      </c>
      <c r="GN12" s="2340">
        <f t="shared" ref="GN12" si="64">FX12</f>
        <v>671.99999999999989</v>
      </c>
      <c r="GO12" s="2339">
        <f t="shared" ref="GO12" si="65">FY12</f>
        <v>1294.3</v>
      </c>
      <c r="GP12" s="2340">
        <f t="shared" ref="GP12" si="66">FZ12</f>
        <v>1311.6</v>
      </c>
      <c r="GQ12" s="908">
        <f t="shared" ref="GQ12" si="67">GA12</f>
        <v>2312.5</v>
      </c>
      <c r="GR12" s="2032">
        <f t="shared" ref="GR12" si="68">GB12</f>
        <v>2329.8000000000002</v>
      </c>
      <c r="GS12" s="242"/>
      <c r="GT12" s="242"/>
      <c r="GU12" s="923" t="s">
        <v>2</v>
      </c>
      <c r="GV12" s="242"/>
      <c r="GW12" s="1514">
        <f t="shared" ref="GW12:HH12" si="69">T$12</f>
        <v>581.20000000000005</v>
      </c>
      <c r="GX12" s="1514">
        <f t="shared" si="69"/>
        <v>604.5</v>
      </c>
      <c r="GY12" s="1514">
        <f t="shared" si="69"/>
        <v>506.59999999999991</v>
      </c>
      <c r="GZ12" s="1514">
        <f t="shared" si="69"/>
        <v>579.50000000000023</v>
      </c>
      <c r="HA12" s="1514">
        <f t="shared" si="69"/>
        <v>639.6</v>
      </c>
      <c r="HB12" s="1514">
        <f t="shared" si="69"/>
        <v>671.99999999999989</v>
      </c>
      <c r="HC12" s="1514">
        <f t="shared" si="69"/>
        <v>497.80000000000018</v>
      </c>
      <c r="HD12" s="1514">
        <f t="shared" si="69"/>
        <v>520.40000000000009</v>
      </c>
      <c r="HE12" s="1514">
        <f t="shared" si="69"/>
        <v>609.6</v>
      </c>
      <c r="HF12" s="1514">
        <f t="shared" si="69"/>
        <v>684.69999999999993</v>
      </c>
      <c r="HG12" s="1514">
        <f t="shared" si="69"/>
        <v>515.10000000000014</v>
      </c>
      <c r="HH12" s="1514">
        <f t="shared" si="69"/>
        <v>520.40000000000009</v>
      </c>
      <c r="HJ12" s="2062">
        <f>HF12</f>
        <v>684.69999999999993</v>
      </c>
      <c r="HK12" s="2064">
        <f>HB12</f>
        <v>671.99999999999989</v>
      </c>
      <c r="HL12" s="2062">
        <f>SUM(HE12:HF12)</f>
        <v>1294.3</v>
      </c>
      <c r="HM12" s="2064">
        <f>SUM(HA12:HB12)</f>
        <v>1311.6</v>
      </c>
      <c r="HN12" s="2062">
        <f>SUM(HC12:HF12)</f>
        <v>2312.5</v>
      </c>
      <c r="HO12" s="2063">
        <f>SUM(HA12:HD12)</f>
        <v>2329.8000000000002</v>
      </c>
      <c r="HP12" s="1999"/>
      <c r="HQ12" s="310"/>
      <c r="HR12" s="310"/>
      <c r="HS12" s="310"/>
      <c r="HT12" s="310"/>
      <c r="HU12" s="310"/>
      <c r="HV12" s="310"/>
      <c r="HW12" s="310"/>
      <c r="HX12" s="310"/>
      <c r="HY12" s="310"/>
      <c r="HZ12" s="892"/>
      <c r="IA12" s="923" t="s">
        <v>223</v>
      </c>
      <c r="IB12" s="925">
        <f>HJ12</f>
        <v>684.69999999999993</v>
      </c>
      <c r="IC12" s="924">
        <f t="shared" ref="IB12:IG15" si="70">HK12</f>
        <v>671.99999999999989</v>
      </c>
      <c r="ID12" s="925">
        <f t="shared" si="70"/>
        <v>1294.3</v>
      </c>
      <c r="IE12" s="924">
        <f t="shared" si="70"/>
        <v>1311.6</v>
      </c>
      <c r="IF12" s="925">
        <f t="shared" si="70"/>
        <v>2312.5</v>
      </c>
      <c r="IG12" s="1575">
        <f t="shared" si="70"/>
        <v>2329.8000000000002</v>
      </c>
      <c r="IH12" s="1219"/>
      <c r="IJ12" s="1678">
        <f t="shared" si="5"/>
        <v>0</v>
      </c>
      <c r="IK12" s="264">
        <f t="shared" si="23"/>
        <v>3</v>
      </c>
      <c r="IL12" s="242"/>
      <c r="IM12" s="242"/>
      <c r="IN12" s="1177" t="str">
        <f t="shared" ref="IN12:IN16" si="71">IX12</f>
        <v>Intäkter</v>
      </c>
      <c r="IO12" s="1694"/>
      <c r="IP12" s="1694"/>
      <c r="IQ12" s="1694"/>
      <c r="IR12" s="242"/>
      <c r="IS12" s="242"/>
      <c r="IT12" s="1678">
        <f t="shared" si="7"/>
        <v>0</v>
      </c>
      <c r="IU12" s="264">
        <f t="shared" si="24"/>
        <v>3</v>
      </c>
      <c r="IV12" s="242"/>
      <c r="IW12" s="242"/>
      <c r="IX12" s="1177" t="s">
        <v>224</v>
      </c>
      <c r="IY12" s="1177"/>
      <c r="IZ12" s="1226">
        <f>AX12</f>
        <v>684.69999999999993</v>
      </c>
      <c r="JA12" s="1694">
        <f>JB12-IZ12</f>
        <v>0</v>
      </c>
      <c r="JB12" s="1226">
        <f>SUM(EA12)</f>
        <v>684.69999999999993</v>
      </c>
      <c r="JC12" s="242"/>
      <c r="JD12" s="242"/>
      <c r="JE12" s="242"/>
      <c r="JF12" s="1177" t="str">
        <f t="shared" ref="JF12:JF16" si="72">IX12</f>
        <v>Intäkter</v>
      </c>
      <c r="JG12" s="1226">
        <f>IZ12</f>
        <v>684.69999999999993</v>
      </c>
      <c r="JH12" s="1694"/>
      <c r="JI12" s="1226">
        <f t="shared" si="26"/>
        <v>684.69999999999993</v>
      </c>
      <c r="JJ12" s="242"/>
      <c r="JK12" s="242"/>
      <c r="JL12" s="242"/>
      <c r="JM12" s="1663" t="s">
        <v>223</v>
      </c>
      <c r="JN12" s="1765">
        <f>$JG12</f>
        <v>684.69999999999993</v>
      </c>
      <c r="JO12" s="1766"/>
      <c r="JP12" s="1765">
        <f>$JI12</f>
        <v>684.69999999999993</v>
      </c>
      <c r="JQ12" s="242"/>
    </row>
    <row r="13" spans="2:277" s="269" customFormat="1" outlineLevel="1" x14ac:dyDescent="0.2">
      <c r="B13" s="264">
        <f t="shared" si="27"/>
        <v>4</v>
      </c>
      <c r="D13" s="288" t="str">
        <f>+[2]rapkvart!$B7</f>
        <v xml:space="preserve">Kostnad för sålda varor </v>
      </c>
      <c r="E13" s="289">
        <f>[2]rapkvart!$C7</f>
        <v>3</v>
      </c>
      <c r="G13" s="1075">
        <f>[2]rapkvart!S7</f>
        <v>-504</v>
      </c>
      <c r="H13" s="1075">
        <f>[2]rapkvart!T7</f>
        <v>-1018.3</v>
      </c>
      <c r="I13" s="1075">
        <f>[2]rapkvart!U7</f>
        <v>-1462.2</v>
      </c>
      <c r="J13" s="1075">
        <f>[2]rapkvart!V7</f>
        <v>-1976.7</v>
      </c>
      <c r="K13" s="1075">
        <f>[2]rapkvart!O7</f>
        <v>-547.79999999999995</v>
      </c>
      <c r="L13" s="1075">
        <f>[2]rapkvart!P7</f>
        <v>-1142.5</v>
      </c>
      <c r="M13" s="1075">
        <f>[2]rapkvart!Q7</f>
        <v>-1582.4</v>
      </c>
      <c r="N13" s="1075">
        <f>[2]rapkvart!R7</f>
        <v>-2041.4</v>
      </c>
      <c r="O13" s="1075">
        <f>[2]rapkvart!K7</f>
        <v>-519.70000000000005</v>
      </c>
      <c r="P13" s="1075">
        <f>[2]rapkvart!L7</f>
        <v>-1072.0999999999999</v>
      </c>
      <c r="Q13" s="1075">
        <f>[2]rapkvart!M7</f>
        <v>-1582.4</v>
      </c>
      <c r="R13" s="1075">
        <f>[2]rapkvart!N7</f>
        <v>-2041.4</v>
      </c>
      <c r="S13" s="1072"/>
      <c r="T13" s="1073">
        <f>[2]rapkvart!AE7</f>
        <v>-504</v>
      </c>
      <c r="U13" s="1073">
        <f>[2]rapkvart!AF7</f>
        <v>-514.29999999999995</v>
      </c>
      <c r="V13" s="1073">
        <f>[2]rapkvart!AG7</f>
        <v>-443.90000000000009</v>
      </c>
      <c r="W13" s="1073">
        <f>[2]rapkvart!AH7</f>
        <v>-514.5</v>
      </c>
      <c r="X13" s="1073">
        <f>[2]rapkvart!AA7</f>
        <v>-547.79999999999995</v>
      </c>
      <c r="Y13" s="1073">
        <f>[2]rapkvart!AB7</f>
        <v>-594.70000000000005</v>
      </c>
      <c r="Z13" s="1073">
        <f>[2]rapkvart!AC7</f>
        <v>-439.90000000000009</v>
      </c>
      <c r="AA13" s="1073">
        <f>[2]rapkvart!AD7</f>
        <v>-459</v>
      </c>
      <c r="AB13" s="1073">
        <f>[2]rapkvart!W7</f>
        <v>-519.70000000000005</v>
      </c>
      <c r="AC13" s="1073">
        <f>[2]rapkvart!X7</f>
        <v>-552.39999999999986</v>
      </c>
      <c r="AD13" s="1073">
        <f>[2]rapkvart!Y7</f>
        <v>-510.30000000000018</v>
      </c>
      <c r="AE13" s="1073">
        <f>[2]rapkvart!Z7</f>
        <v>-459</v>
      </c>
      <c r="AV13" s="1762" t="str">
        <f t="shared" si="28"/>
        <v xml:space="preserve">Kostnad för sålda varor </v>
      </c>
      <c r="AW13" s="1979"/>
      <c r="AX13" s="1763">
        <f t="shared" si="29"/>
        <v>-552.39999999999986</v>
      </c>
      <c r="AY13" s="1870">
        <f t="shared" si="30"/>
        <v>-594.70000000000005</v>
      </c>
      <c r="AZ13" s="1763">
        <f t="shared" si="31"/>
        <v>-1072.0999999999999</v>
      </c>
      <c r="BA13" s="1870">
        <f t="shared" si="32"/>
        <v>-1142.5</v>
      </c>
      <c r="BB13" s="1763">
        <f t="shared" si="33"/>
        <v>-1971</v>
      </c>
      <c r="BC13" s="1870">
        <f t="shared" si="34"/>
        <v>-2041.4</v>
      </c>
      <c r="BE13" s="1179" t="s">
        <v>227</v>
      </c>
      <c r="BF13" s="1675"/>
      <c r="BG13" s="1228">
        <f t="shared" si="11"/>
        <v>-552.39999999999986</v>
      </c>
      <c r="BH13" s="1229">
        <f t="shared" si="12"/>
        <v>-594.70000000000005</v>
      </c>
      <c r="BI13" s="1228">
        <f t="shared" si="13"/>
        <v>-1072.0999999999999</v>
      </c>
      <c r="BJ13" s="1229">
        <f t="shared" si="14"/>
        <v>-1142.5</v>
      </c>
      <c r="BK13" s="1228">
        <f t="shared" si="15"/>
        <v>-1971</v>
      </c>
      <c r="BL13" s="1229">
        <f t="shared" si="16"/>
        <v>-2041.4</v>
      </c>
      <c r="BN13" s="242"/>
      <c r="BP13" s="290" t="str">
        <f>CI13</f>
        <v>Kostnad för sålda varor exkl avskrivningar</v>
      </c>
      <c r="BQ13" s="964">
        <f>Avskrivningar!AC16*-1</f>
        <v>22.9</v>
      </c>
      <c r="BR13" s="964">
        <f>Avskrivningar!AD16*-1</f>
        <v>23.5</v>
      </c>
      <c r="BS13" s="964">
        <f>Avskrivningar!AE16*-1</f>
        <v>22.999999999999993</v>
      </c>
      <c r="BT13" s="964">
        <f>Avskrivningar!AF16*-1</f>
        <v>22</v>
      </c>
      <c r="BU13" s="964">
        <f>Avskrivningar!AG16*-1</f>
        <v>21.9</v>
      </c>
      <c r="BV13" s="964">
        <f>Avskrivningar!AH16*-1</f>
        <v>22.8</v>
      </c>
      <c r="BW13" s="964">
        <f>Avskrivningar!AI16*-1</f>
        <v>22.200000000000003</v>
      </c>
      <c r="BX13" s="964">
        <f>Avskrivningar!AJ16*-1</f>
        <v>21.799999999999994</v>
      </c>
      <c r="BY13" s="964">
        <f>Avskrivningar!AK16*-1</f>
        <v>22.000000000000004</v>
      </c>
      <c r="BZ13" s="964">
        <f>Avskrivningar!AL16*-1</f>
        <v>21.699999999999996</v>
      </c>
      <c r="CA13" s="965"/>
      <c r="CB13" s="291"/>
      <c r="CD13" s="242"/>
      <c r="CE13" s="1288">
        <f t="shared" si="35"/>
        <v>1</v>
      </c>
      <c r="CF13" s="281">
        <f t="shared" si="36"/>
        <v>4</v>
      </c>
      <c r="CH13" s="1608"/>
      <c r="CI13" s="1026" t="s">
        <v>63</v>
      </c>
      <c r="CJ13" s="1024"/>
      <c r="CK13" s="1279">
        <f t="shared" si="37"/>
        <v>-481.1</v>
      </c>
      <c r="CL13" s="1279">
        <f t="shared" si="37"/>
        <v>-490.79999999999995</v>
      </c>
      <c r="CM13" s="1279">
        <f t="shared" si="37"/>
        <v>-420.90000000000009</v>
      </c>
      <c r="CN13" s="1279">
        <f t="shared" si="37"/>
        <v>-492.5</v>
      </c>
      <c r="CO13" s="1279">
        <f t="shared" si="37"/>
        <v>-525.9</v>
      </c>
      <c r="CP13" s="1279">
        <f t="shared" si="37"/>
        <v>-571.90000000000009</v>
      </c>
      <c r="CQ13" s="1279">
        <f t="shared" si="37"/>
        <v>-417.7000000000001</v>
      </c>
      <c r="CR13" s="1279">
        <f t="shared" si="37"/>
        <v>-437.2</v>
      </c>
      <c r="CS13" s="1279">
        <f t="shared" si="37"/>
        <v>-497.70000000000005</v>
      </c>
      <c r="CT13" s="1279">
        <f t="shared" si="37"/>
        <v>-530.69999999999982</v>
      </c>
      <c r="CU13" s="1279">
        <f t="shared" si="37"/>
        <v>-510.30000000000018</v>
      </c>
      <c r="CV13" s="1279">
        <f t="shared" si="37"/>
        <v>-459</v>
      </c>
      <c r="CW13" s="369"/>
      <c r="CX13" s="369"/>
      <c r="CY13" s="369"/>
      <c r="CZ13" s="369"/>
      <c r="DA13" s="369"/>
      <c r="DB13" s="369"/>
      <c r="DC13" s="369"/>
      <c r="DD13" s="369"/>
      <c r="DE13" s="369"/>
      <c r="DF13" s="369"/>
      <c r="DG13" s="369"/>
      <c r="DH13" s="369"/>
      <c r="DI13" s="369"/>
      <c r="DJ13" s="244"/>
      <c r="DK13" s="1632" t="str">
        <f t="shared" ref="DK13:DK58" si="73">$CI13</f>
        <v>Kostnad för sålda varor exkl avskrivningar</v>
      </c>
      <c r="DL13" s="1615">
        <f t="shared" si="38"/>
        <v>22.899999999999977</v>
      </c>
      <c r="DM13" s="1615">
        <f t="shared" si="39"/>
        <v>23.5</v>
      </c>
      <c r="DN13" s="1615">
        <f t="shared" si="40"/>
        <v>23</v>
      </c>
      <c r="DO13" s="1615">
        <f t="shared" si="41"/>
        <v>22</v>
      </c>
      <c r="DP13" s="1615">
        <f t="shared" si="42"/>
        <v>21.899999999999977</v>
      </c>
      <c r="DQ13" s="1615">
        <f t="shared" si="43"/>
        <v>22.799999999999955</v>
      </c>
      <c r="DR13" s="1615">
        <f t="shared" si="44"/>
        <v>22.199999999999989</v>
      </c>
      <c r="DS13" s="1615">
        <f t="shared" si="45"/>
        <v>21.800000000000011</v>
      </c>
      <c r="DT13" s="1615">
        <f t="shared" si="46"/>
        <v>22</v>
      </c>
      <c r="DU13" s="1648">
        <f t="shared" si="47"/>
        <v>21.700000000000045</v>
      </c>
      <c r="DV13" s="1615">
        <f t="shared" si="48"/>
        <v>0</v>
      </c>
      <c r="DW13" s="1615">
        <f t="shared" si="49"/>
        <v>0</v>
      </c>
      <c r="DX13" s="244"/>
      <c r="DY13" s="1762" t="str">
        <f>CI13</f>
        <v>Kostnad för sålda varor exkl avskrivningar</v>
      </c>
      <c r="DZ13" s="1844"/>
      <c r="EA13" s="1763">
        <f>SUM(CT13)</f>
        <v>-530.69999999999982</v>
      </c>
      <c r="EB13" s="1764">
        <f>SUM(CP13)</f>
        <v>-571.90000000000009</v>
      </c>
      <c r="EC13" s="1763">
        <f>SUM(CS13:CT13)</f>
        <v>-1028.3999999999999</v>
      </c>
      <c r="ED13" s="1764">
        <f>SUM(CO13:CP13)</f>
        <v>-1097.8000000000002</v>
      </c>
      <c r="EE13" s="1763">
        <f>SUM(CQ13:CT13)</f>
        <v>-1883.3</v>
      </c>
      <c r="EF13" s="1764">
        <f>SUM(CO13:CR13)</f>
        <v>-1952.7000000000003</v>
      </c>
      <c r="EH13" s="242"/>
      <c r="EI13" s="242"/>
      <c r="EK13" s="1179" t="s">
        <v>228</v>
      </c>
      <c r="EL13" s="2337">
        <v>3</v>
      </c>
      <c r="EM13" s="1228">
        <f t="shared" ref="EM13:EM57" si="74">EA13</f>
        <v>-530.69999999999982</v>
      </c>
      <c r="EN13" s="1229">
        <f t="shared" ref="EN13:EN57" si="75">EB13</f>
        <v>-571.90000000000009</v>
      </c>
      <c r="EO13" s="1228">
        <f t="shared" ref="EO13:EO57" si="76">EC13</f>
        <v>-1028.3999999999999</v>
      </c>
      <c r="EP13" s="1229">
        <f t="shared" ref="EP13:EP57" si="77">ED13</f>
        <v>-1097.8000000000002</v>
      </c>
      <c r="EQ13" s="1228">
        <f t="shared" ref="EQ13:EQ57" si="78">EE13</f>
        <v>-1883.3</v>
      </c>
      <c r="ER13" s="1229">
        <f t="shared" ref="ER13:ER57" si="79">EF13</f>
        <v>-1952.7000000000003</v>
      </c>
      <c r="ET13" s="242"/>
      <c r="EU13" s="292"/>
      <c r="EV13" s="242"/>
      <c r="EW13" s="2156" t="s">
        <v>10</v>
      </c>
      <c r="EX13" s="908">
        <f>HJ13</f>
        <v>114.10000000000005</v>
      </c>
      <c r="EY13" s="909">
        <f t="shared" ref="EY13" si="80">HK13</f>
        <v>63.199999999999847</v>
      </c>
      <c r="EZ13" s="908">
        <f t="shared" ref="EZ13" si="81">HL13</f>
        <v>186.50000000000006</v>
      </c>
      <c r="FA13" s="909">
        <f t="shared" ref="FA13" si="82">HM13</f>
        <v>142.59999999999994</v>
      </c>
      <c r="FB13" s="2032">
        <f t="shared" ref="FB13" si="83">HN13</f>
        <v>281.20000000000027</v>
      </c>
      <c r="FC13" s="908">
        <f t="shared" ref="FC13" si="84">HO13</f>
        <v>237.30000000000013</v>
      </c>
      <c r="FD13" s="310"/>
      <c r="FE13" s="310"/>
      <c r="FF13" s="903" t="s">
        <v>229</v>
      </c>
      <c r="FG13" s="916">
        <f>EX13</f>
        <v>114.10000000000005</v>
      </c>
      <c r="FH13" s="917">
        <f t="shared" si="52"/>
        <v>63.199999999999847</v>
      </c>
      <c r="FI13" s="916">
        <f t="shared" si="53"/>
        <v>186.50000000000006</v>
      </c>
      <c r="FJ13" s="917">
        <f t="shared" si="54"/>
        <v>142.59999999999994</v>
      </c>
      <c r="FK13" s="2033">
        <f t="shared" si="55"/>
        <v>281.20000000000027</v>
      </c>
      <c r="FL13" s="916">
        <f t="shared" si="56"/>
        <v>237.30000000000013</v>
      </c>
      <c r="FM13" s="310"/>
      <c r="FN13" s="1577"/>
      <c r="FO13" s="242"/>
      <c r="FP13" s="2163"/>
      <c r="FQ13" s="2164"/>
      <c r="FR13" s="2163"/>
      <c r="FS13" s="2164"/>
      <c r="FT13" s="2163"/>
      <c r="FU13" s="2164"/>
      <c r="FV13" s="2235"/>
      <c r="FW13" s="2163"/>
      <c r="FX13" s="2164"/>
      <c r="FY13" s="2163"/>
      <c r="FZ13" s="2164"/>
      <c r="GA13" s="2159"/>
      <c r="GB13" s="2160"/>
      <c r="GC13" s="310"/>
      <c r="GD13" s="1577"/>
      <c r="GE13" s="242"/>
      <c r="GF13" s="2339"/>
      <c r="GG13" s="2340"/>
      <c r="GH13" s="2339"/>
      <c r="GI13" s="2340"/>
      <c r="GJ13" s="908"/>
      <c r="GK13" s="2032"/>
      <c r="GL13" s="242"/>
      <c r="GM13" s="2339"/>
      <c r="GN13" s="2340"/>
      <c r="GO13" s="2339"/>
      <c r="GP13" s="2340"/>
      <c r="GQ13" s="908"/>
      <c r="GR13" s="2032"/>
      <c r="GS13" s="242"/>
      <c r="GT13" s="242"/>
      <c r="GU13" s="412" t="s">
        <v>10</v>
      </c>
      <c r="GV13" s="242"/>
      <c r="GW13" s="1514">
        <f t="shared" ref="GW13:HH13" si="85">T$87</f>
        <v>66.500000000000043</v>
      </c>
      <c r="GX13" s="1514">
        <f t="shared" si="85"/>
        <v>78.400000000000048</v>
      </c>
      <c r="GY13" s="1514">
        <f t="shared" si="85"/>
        <v>56.699999999999811</v>
      </c>
      <c r="GZ13" s="1514">
        <f t="shared" si="85"/>
        <v>50.600000000000229</v>
      </c>
      <c r="HA13" s="1514">
        <f t="shared" si="85"/>
        <v>79.400000000000091</v>
      </c>
      <c r="HB13" s="1514">
        <f t="shared" si="85"/>
        <v>63.199999999999847</v>
      </c>
      <c r="HC13" s="1514">
        <f t="shared" si="85"/>
        <v>51.300000000000097</v>
      </c>
      <c r="HD13" s="1514">
        <f t="shared" si="85"/>
        <v>43.400000000000091</v>
      </c>
      <c r="HE13" s="1514">
        <f t="shared" si="85"/>
        <v>72.399999999999991</v>
      </c>
      <c r="HF13" s="1514">
        <f t="shared" si="85"/>
        <v>114.10000000000005</v>
      </c>
      <c r="HG13" s="1514">
        <f t="shared" si="85"/>
        <v>7.3999999999999577</v>
      </c>
      <c r="HH13" s="1514">
        <f t="shared" si="85"/>
        <v>43.400000000000091</v>
      </c>
      <c r="HJ13" s="2062">
        <f>HF13</f>
        <v>114.10000000000005</v>
      </c>
      <c r="HK13" s="2064">
        <f>HB13</f>
        <v>63.199999999999847</v>
      </c>
      <c r="HL13" s="2062">
        <f>SUM(HE13:HF13)</f>
        <v>186.50000000000006</v>
      </c>
      <c r="HM13" s="2064">
        <f>SUM(HA13:HB13)</f>
        <v>142.59999999999994</v>
      </c>
      <c r="HN13" s="2062">
        <f>SUM(HC13:HF13)</f>
        <v>281.20000000000027</v>
      </c>
      <c r="HO13" s="2063">
        <f>SUM(HA13:HD13)</f>
        <v>237.30000000000013</v>
      </c>
      <c r="HP13" s="1999"/>
      <c r="HQ13" s="310"/>
      <c r="HR13" s="310"/>
      <c r="HS13" s="310"/>
      <c r="HT13" s="310"/>
      <c r="HU13" s="310"/>
      <c r="HV13" s="310"/>
      <c r="HW13" s="310"/>
      <c r="HX13" s="310"/>
      <c r="HY13" s="310"/>
      <c r="HZ13" s="892"/>
      <c r="IA13" s="412" t="s">
        <v>883</v>
      </c>
      <c r="IB13" s="925">
        <f t="shared" si="70"/>
        <v>114.10000000000005</v>
      </c>
      <c r="IC13" s="924">
        <f t="shared" si="70"/>
        <v>63.199999999999847</v>
      </c>
      <c r="ID13" s="925">
        <f t="shared" si="70"/>
        <v>186.50000000000006</v>
      </c>
      <c r="IE13" s="924">
        <f t="shared" si="70"/>
        <v>142.59999999999994</v>
      </c>
      <c r="IF13" s="925">
        <f t="shared" si="70"/>
        <v>281.20000000000027</v>
      </c>
      <c r="IG13" s="1575">
        <f t="shared" si="70"/>
        <v>237.30000000000013</v>
      </c>
      <c r="IH13" s="1219"/>
      <c r="IJ13" s="1678">
        <f t="shared" si="5"/>
        <v>0</v>
      </c>
      <c r="IK13" s="264">
        <f t="shared" si="23"/>
        <v>4</v>
      </c>
      <c r="IL13" s="440"/>
      <c r="IM13" s="242"/>
      <c r="IN13" s="1179" t="str">
        <f t="shared" si="71"/>
        <v>Kostnad för sålda varor exkl avskrivningar</v>
      </c>
      <c r="IO13" s="1712">
        <f>BZ13</f>
        <v>21.699999999999996</v>
      </c>
      <c r="IP13" s="1695"/>
      <c r="IQ13" s="1695"/>
      <c r="IR13" s="242"/>
      <c r="IS13" s="242"/>
      <c r="IT13" s="1678">
        <f t="shared" si="7"/>
        <v>0</v>
      </c>
      <c r="IU13" s="264">
        <f t="shared" si="24"/>
        <v>4</v>
      </c>
      <c r="IV13" s="242"/>
      <c r="IW13" s="1705"/>
      <c r="IX13" s="1179" t="s">
        <v>63</v>
      </c>
      <c r="IY13" s="1179"/>
      <c r="IZ13" s="1708">
        <f>AX13+IO13</f>
        <v>-530.69999999999982</v>
      </c>
      <c r="JA13" s="1695">
        <f t="shared" ref="JA13:JA57" si="86">JB13-IZ13</f>
        <v>0</v>
      </c>
      <c r="JB13" s="1228">
        <f>SUM(EA13)</f>
        <v>-530.69999999999982</v>
      </c>
      <c r="JC13" s="242"/>
      <c r="JD13" s="242"/>
      <c r="JE13" s="242"/>
      <c r="JF13" s="1762" t="str">
        <f t="shared" si="72"/>
        <v>Kostnad för sålda varor exkl avskrivningar</v>
      </c>
      <c r="JG13" s="1763">
        <f t="shared" si="25"/>
        <v>-530.69999999999982</v>
      </c>
      <c r="JH13" s="1764"/>
      <c r="JI13" s="1763">
        <f t="shared" si="26"/>
        <v>-530.69999999999982</v>
      </c>
      <c r="JJ13" s="242"/>
      <c r="JK13" s="242"/>
      <c r="JL13" s="242"/>
      <c r="JM13" s="1762" t="s">
        <v>230</v>
      </c>
      <c r="JN13" s="1763">
        <f t="shared" ref="JN13:JN48" si="87">$JG13</f>
        <v>-530.69999999999982</v>
      </c>
      <c r="JO13" s="1764"/>
      <c r="JP13" s="1763">
        <f t="shared" ref="JP13:JP48" si="88">$JI13</f>
        <v>-530.69999999999982</v>
      </c>
      <c r="JQ13" s="242"/>
    </row>
    <row r="14" spans="2:277" s="269" customFormat="1" outlineLevel="1" x14ac:dyDescent="0.2">
      <c r="B14" s="264">
        <f t="shared" si="27"/>
        <v>5</v>
      </c>
      <c r="D14" s="300" t="str">
        <f>+[2]rapkvart!$B8</f>
        <v>Bruttoresultat</v>
      </c>
      <c r="E14" s="301"/>
      <c r="G14" s="1076">
        <f>[2]rapkvart!S8</f>
        <v>77.200000000000045</v>
      </c>
      <c r="H14" s="1076">
        <f>[2]rapkvart!T8</f>
        <v>167.40000000000009</v>
      </c>
      <c r="I14" s="1076">
        <f>[2]rapkvart!U8</f>
        <v>230.09999999999991</v>
      </c>
      <c r="J14" s="1076">
        <f>[2]rapkvart!V8</f>
        <v>295.10000000000014</v>
      </c>
      <c r="K14" s="1076">
        <f>[2]rapkvart!O8</f>
        <v>91.800000000000068</v>
      </c>
      <c r="L14" s="1076">
        <f>[2]rapkvart!P8</f>
        <v>169.09999999999991</v>
      </c>
      <c r="M14" s="1076">
        <f>[2]rapkvart!Q8</f>
        <v>227</v>
      </c>
      <c r="N14" s="1076">
        <f>[2]rapkvart!R8</f>
        <v>288.40000000000009</v>
      </c>
      <c r="O14" s="1076">
        <f>[2]rapkvart!K8</f>
        <v>89.899999999999977</v>
      </c>
      <c r="P14" s="1076">
        <f>[2]rapkvart!L8</f>
        <v>222.20000000000005</v>
      </c>
      <c r="Q14" s="1076">
        <f>[2]rapkvart!M8</f>
        <v>227</v>
      </c>
      <c r="R14" s="1076">
        <f>[2]rapkvart!N8</f>
        <v>288.40000000000009</v>
      </c>
      <c r="S14" s="1072"/>
      <c r="T14" s="1073">
        <f>[2]rapkvart!AE8</f>
        <v>77.200000000000045</v>
      </c>
      <c r="U14" s="1073">
        <f>[2]rapkvart!AF8</f>
        <v>90.200000000000045</v>
      </c>
      <c r="V14" s="1073">
        <f>[2]rapkvart!AG8</f>
        <v>62.699999999999818</v>
      </c>
      <c r="W14" s="1073">
        <f>[2]rapkvart!AH8</f>
        <v>65.000000000000227</v>
      </c>
      <c r="X14" s="1073">
        <f>[2]rapkvart!AA8</f>
        <v>91.800000000000068</v>
      </c>
      <c r="Y14" s="1073">
        <f>[2]rapkvart!AB8</f>
        <v>77.299999999999841</v>
      </c>
      <c r="Z14" s="1073">
        <f>[2]rapkvart!AC8</f>
        <v>57.900000000000091</v>
      </c>
      <c r="AA14" s="1073">
        <f>[2]rapkvart!AD8</f>
        <v>61.400000000000091</v>
      </c>
      <c r="AB14" s="1073">
        <f>[2]rapkvart!W8</f>
        <v>89.899999999999977</v>
      </c>
      <c r="AC14" s="1073">
        <f>[2]rapkvart!X8</f>
        <v>132.30000000000007</v>
      </c>
      <c r="AD14" s="1073">
        <f>[2]rapkvart!Y8</f>
        <v>4.7999999999999545</v>
      </c>
      <c r="AE14" s="1073">
        <f>[2]rapkvart!Z8</f>
        <v>61.400000000000091</v>
      </c>
      <c r="AV14" s="1187" t="str">
        <f t="shared" si="28"/>
        <v>Bruttoresultat</v>
      </c>
      <c r="AW14" s="1186"/>
      <c r="AX14" s="1235">
        <f t="shared" si="29"/>
        <v>132.30000000000007</v>
      </c>
      <c r="AY14" s="1236">
        <f t="shared" si="30"/>
        <v>77.299999999999841</v>
      </c>
      <c r="AZ14" s="1235">
        <f t="shared" si="31"/>
        <v>222.20000000000005</v>
      </c>
      <c r="BA14" s="1236">
        <f t="shared" si="32"/>
        <v>169.09999999999991</v>
      </c>
      <c r="BB14" s="1235">
        <f t="shared" si="33"/>
        <v>341.50000000000023</v>
      </c>
      <c r="BC14" s="1236">
        <f t="shared" si="34"/>
        <v>288.40000000000009</v>
      </c>
      <c r="BE14" s="1187" t="s">
        <v>231</v>
      </c>
      <c r="BF14" s="1186"/>
      <c r="BG14" s="1235">
        <f t="shared" si="11"/>
        <v>132.30000000000007</v>
      </c>
      <c r="BH14" s="1236">
        <f t="shared" si="12"/>
        <v>77.299999999999841</v>
      </c>
      <c r="BI14" s="1235">
        <f t="shared" si="13"/>
        <v>222.20000000000005</v>
      </c>
      <c r="BJ14" s="1236">
        <f t="shared" si="14"/>
        <v>169.09999999999991</v>
      </c>
      <c r="BK14" s="1235">
        <f t="shared" si="15"/>
        <v>341.50000000000023</v>
      </c>
      <c r="BL14" s="1236">
        <f t="shared" si="16"/>
        <v>288.40000000000009</v>
      </c>
      <c r="BN14" s="242"/>
      <c r="BP14" s="302" t="str">
        <f>CI14</f>
        <v>Bruttoresultat exklusive avskrivningar</v>
      </c>
      <c r="BQ14" s="966"/>
      <c r="BR14" s="967"/>
      <c r="BS14" s="967"/>
      <c r="BT14" s="967"/>
      <c r="BU14" s="967"/>
      <c r="BV14" s="967"/>
      <c r="BW14" s="967"/>
      <c r="BX14" s="967"/>
      <c r="BY14" s="967"/>
      <c r="BZ14" s="967"/>
      <c r="CA14" s="967"/>
      <c r="CB14" s="302"/>
      <c r="CD14" s="242"/>
      <c r="CE14" s="1288">
        <f t="shared" si="35"/>
        <v>1</v>
      </c>
      <c r="CF14" s="281">
        <f t="shared" si="36"/>
        <v>5</v>
      </c>
      <c r="CH14" s="1608"/>
      <c r="CI14" s="302" t="s">
        <v>232</v>
      </c>
      <c r="CJ14" s="303"/>
      <c r="CK14" s="966">
        <f>SUM(CK12:CK13)</f>
        <v>100.10000000000002</v>
      </c>
      <c r="CL14" s="966">
        <f t="shared" ref="CL14:CV14" si="89">SUM(CL12:CL13)</f>
        <v>113.70000000000005</v>
      </c>
      <c r="CM14" s="966">
        <f t="shared" si="89"/>
        <v>85.699999999999818</v>
      </c>
      <c r="CN14" s="966">
        <f t="shared" si="89"/>
        <v>87.000000000000227</v>
      </c>
      <c r="CO14" s="966">
        <f t="shared" si="89"/>
        <v>113.70000000000005</v>
      </c>
      <c r="CP14" s="966">
        <f t="shared" si="89"/>
        <v>100.0999999999998</v>
      </c>
      <c r="CQ14" s="966">
        <f t="shared" si="89"/>
        <v>80.10000000000008</v>
      </c>
      <c r="CR14" s="966">
        <f t="shared" si="89"/>
        <v>83.200000000000102</v>
      </c>
      <c r="CS14" s="966">
        <f t="shared" si="89"/>
        <v>111.89999999999998</v>
      </c>
      <c r="CT14" s="966">
        <f t="shared" si="89"/>
        <v>154.00000000000011</v>
      </c>
      <c r="CU14" s="966">
        <f t="shared" si="89"/>
        <v>4.7999999999999545</v>
      </c>
      <c r="CV14" s="966">
        <f t="shared" si="89"/>
        <v>61.400000000000091</v>
      </c>
      <c r="CW14" s="1008"/>
      <c r="CX14" s="1008"/>
      <c r="CY14" s="1008"/>
      <c r="CZ14" s="1008"/>
      <c r="DA14" s="1008"/>
      <c r="DB14" s="1008"/>
      <c r="DC14" s="1008"/>
      <c r="DD14" s="1008"/>
      <c r="DE14" s="1008"/>
      <c r="DF14" s="1008"/>
      <c r="DG14" s="1008"/>
      <c r="DH14" s="1008"/>
      <c r="DI14" s="1008"/>
      <c r="DJ14" s="244"/>
      <c r="DK14" s="1633" t="str">
        <f t="shared" si="73"/>
        <v>Bruttoresultat exklusive avskrivningar</v>
      </c>
      <c r="DL14" s="1616">
        <f t="shared" si="38"/>
        <v>22.899999999999977</v>
      </c>
      <c r="DM14" s="1616">
        <f t="shared" si="39"/>
        <v>23.5</v>
      </c>
      <c r="DN14" s="1616">
        <f t="shared" si="40"/>
        <v>23</v>
      </c>
      <c r="DO14" s="1616">
        <f t="shared" si="41"/>
        <v>22</v>
      </c>
      <c r="DP14" s="1616">
        <f t="shared" si="42"/>
        <v>21.899999999999977</v>
      </c>
      <c r="DQ14" s="1616">
        <f t="shared" si="43"/>
        <v>22.799999999999955</v>
      </c>
      <c r="DR14" s="1616">
        <f t="shared" si="44"/>
        <v>22.199999999999989</v>
      </c>
      <c r="DS14" s="1616">
        <f t="shared" si="45"/>
        <v>21.800000000000011</v>
      </c>
      <c r="DT14" s="1616">
        <f t="shared" si="46"/>
        <v>22</v>
      </c>
      <c r="DU14" s="1649">
        <f t="shared" si="47"/>
        <v>21.700000000000045</v>
      </c>
      <c r="DV14" s="1616">
        <f t="shared" si="48"/>
        <v>0</v>
      </c>
      <c r="DW14" s="1616">
        <f t="shared" si="49"/>
        <v>0</v>
      </c>
      <c r="DX14" s="244"/>
      <c r="DY14" s="1180" t="str">
        <f>CI14</f>
        <v>Bruttoresultat exklusive avskrivningar</v>
      </c>
      <c r="DZ14" s="1181"/>
      <c r="EA14" s="1230">
        <f>SUM(CT14)</f>
        <v>154.00000000000011</v>
      </c>
      <c r="EB14" s="1231">
        <f>SUM(CP14)</f>
        <v>100.0999999999998</v>
      </c>
      <c r="EC14" s="1230">
        <f>SUM(CS14:CT14)</f>
        <v>265.90000000000009</v>
      </c>
      <c r="ED14" s="1231">
        <f>SUM(CO14:CP14)</f>
        <v>213.79999999999984</v>
      </c>
      <c r="EE14" s="1230">
        <f>SUM(CQ14:CT14)</f>
        <v>429.20000000000027</v>
      </c>
      <c r="EF14" s="1231">
        <f>SUM(CO14:CR14)</f>
        <v>377.1</v>
      </c>
      <c r="EH14" s="242"/>
      <c r="EI14" s="242"/>
      <c r="EK14" s="1187" t="str">
        <f>+[2]rapkvart!$A8</f>
        <v>Gross Margin</v>
      </c>
      <c r="EL14" s="1186"/>
      <c r="EM14" s="1235">
        <f t="shared" si="74"/>
        <v>154.00000000000011</v>
      </c>
      <c r="EN14" s="1236">
        <f t="shared" si="75"/>
        <v>100.0999999999998</v>
      </c>
      <c r="EO14" s="1235">
        <f t="shared" si="76"/>
        <v>265.90000000000009</v>
      </c>
      <c r="EP14" s="1236">
        <f t="shared" si="77"/>
        <v>213.79999999999984</v>
      </c>
      <c r="EQ14" s="1235">
        <f t="shared" si="78"/>
        <v>429.20000000000027</v>
      </c>
      <c r="ER14" s="1236">
        <f t="shared" si="79"/>
        <v>377.1</v>
      </c>
      <c r="ET14" s="242"/>
      <c r="EU14" s="242"/>
      <c r="EV14" s="242"/>
      <c r="EW14" s="915" t="s">
        <v>265</v>
      </c>
      <c r="EX14" s="916">
        <f t="shared" ref="EX14:FC14" si="90">HJ109</f>
        <v>0.37019914651493563</v>
      </c>
      <c r="EY14" s="2033">
        <f t="shared" si="90"/>
        <v>0.46418567426970797</v>
      </c>
      <c r="EZ14" s="916">
        <f t="shared" si="90"/>
        <v>0.37019914651493563</v>
      </c>
      <c r="FA14" s="2033">
        <f t="shared" si="90"/>
        <v>0.46418567426970797</v>
      </c>
      <c r="FB14" s="2033">
        <f t="shared" si="90"/>
        <v>0.37019914651493563</v>
      </c>
      <c r="FC14" s="916">
        <f t="shared" si="90"/>
        <v>0.73240623683101524</v>
      </c>
      <c r="FD14" s="310"/>
      <c r="FE14" s="310"/>
      <c r="FF14" s="757"/>
      <c r="FG14" s="904"/>
      <c r="FH14" s="904"/>
      <c r="FI14" s="904"/>
      <c r="FJ14" s="904"/>
      <c r="FK14" s="904"/>
      <c r="FL14" s="904"/>
      <c r="FM14" s="310"/>
      <c r="FN14" s="2155" t="str">
        <f>EW13</f>
        <v>Resultat före av- och nedskrivningar (EBITDA), Mkr</v>
      </c>
      <c r="FO14" s="242"/>
      <c r="FP14" s="2163">
        <f t="shared" ref="FP14:FU14" si="91">EX13</f>
        <v>114.10000000000005</v>
      </c>
      <c r="FQ14" s="2164">
        <f t="shared" si="91"/>
        <v>63.199999999999847</v>
      </c>
      <c r="FR14" s="2163">
        <f t="shared" si="91"/>
        <v>186.50000000000006</v>
      </c>
      <c r="FS14" s="2164">
        <f t="shared" si="91"/>
        <v>142.59999999999994</v>
      </c>
      <c r="FT14" s="2163">
        <f t="shared" si="91"/>
        <v>281.20000000000027</v>
      </c>
      <c r="FU14" s="2164">
        <f t="shared" si="91"/>
        <v>237.30000000000013</v>
      </c>
      <c r="FV14" s="2235"/>
      <c r="FW14" s="2163">
        <f t="shared" ref="FW14:GB14" si="92">FP14</f>
        <v>114.10000000000005</v>
      </c>
      <c r="FX14" s="2164">
        <f t="shared" si="92"/>
        <v>63.199999999999847</v>
      </c>
      <c r="FY14" s="2163">
        <f t="shared" si="92"/>
        <v>186.50000000000006</v>
      </c>
      <c r="FZ14" s="2164">
        <f t="shared" si="92"/>
        <v>142.59999999999994</v>
      </c>
      <c r="GA14" s="2159">
        <f t="shared" si="92"/>
        <v>281.20000000000027</v>
      </c>
      <c r="GB14" s="2160">
        <f t="shared" si="92"/>
        <v>237.30000000000013</v>
      </c>
      <c r="GC14" s="310"/>
      <c r="GD14" s="1577" t="s">
        <v>229</v>
      </c>
      <c r="GE14" s="242"/>
      <c r="GF14" s="2339">
        <f t="shared" ref="GF14:GF16" si="93">FP14</f>
        <v>114.10000000000005</v>
      </c>
      <c r="GG14" s="2340">
        <f t="shared" ref="GG14:GG16" si="94">FQ14</f>
        <v>63.199999999999847</v>
      </c>
      <c r="GH14" s="2339">
        <f t="shared" ref="GH14:GH16" si="95">FR14</f>
        <v>186.50000000000006</v>
      </c>
      <c r="GI14" s="2340">
        <f t="shared" ref="GI14:GI16" si="96">FS14</f>
        <v>142.59999999999994</v>
      </c>
      <c r="GJ14" s="908">
        <f t="shared" ref="GJ14:GJ16" si="97">FT14</f>
        <v>281.20000000000027</v>
      </c>
      <c r="GK14" s="2032">
        <f t="shared" ref="GK14:GK16" si="98">FU14</f>
        <v>237.30000000000013</v>
      </c>
      <c r="GL14" s="242"/>
      <c r="GM14" s="2339">
        <f t="shared" ref="GM14:GM16" si="99">FW14</f>
        <v>114.10000000000005</v>
      </c>
      <c r="GN14" s="2340">
        <f t="shared" ref="GN14:GN16" si="100">FX14</f>
        <v>63.199999999999847</v>
      </c>
      <c r="GO14" s="2339">
        <f t="shared" ref="GO14:GO16" si="101">FY14</f>
        <v>186.50000000000006</v>
      </c>
      <c r="GP14" s="2340">
        <f t="shared" ref="GP14:GP16" si="102">FZ14</f>
        <v>142.59999999999994</v>
      </c>
      <c r="GQ14" s="908">
        <f t="shared" ref="GQ14:GQ16" si="103">GA14</f>
        <v>281.20000000000027</v>
      </c>
      <c r="GR14" s="2032">
        <f t="shared" ref="GR14:GR16" si="104">GB14</f>
        <v>237.30000000000013</v>
      </c>
      <c r="GS14" s="242"/>
      <c r="GT14" s="242"/>
      <c r="GU14" s="412" t="s">
        <v>238</v>
      </c>
      <c r="GV14" s="242"/>
      <c r="GW14" s="1514">
        <f>'Koncern KFA'!R23</f>
        <v>35.400000000000041</v>
      </c>
      <c r="GX14" s="1514">
        <f>'Koncern KFA'!S23</f>
        <v>63.200000000000095</v>
      </c>
      <c r="GY14" s="1514">
        <f>'Koncern KFA'!T23</f>
        <v>-47.600000000000222</v>
      </c>
      <c r="GZ14" s="1514">
        <f>'Koncern KFA'!U23</f>
        <v>39.000000000000227</v>
      </c>
      <c r="HA14" s="1514">
        <f>'Koncern KFA'!V23</f>
        <v>16.20000000000006</v>
      </c>
      <c r="HB14" s="1514">
        <f>'Koncern KFA'!W23</f>
        <v>14.199999999999875</v>
      </c>
      <c r="HC14" s="1514">
        <f>'Koncern KFA'!X23</f>
        <v>-12.299999999999947</v>
      </c>
      <c r="HD14" s="1514">
        <f>'Koncern KFA'!Y23</f>
        <v>-6.8999999999998991</v>
      </c>
      <c r="HE14" s="1514">
        <f>'Koncern KFA'!Z23</f>
        <v>46.799999999999983</v>
      </c>
      <c r="HF14" s="1514">
        <f>'Koncern KFA'!AA23</f>
        <v>63.900000000000006</v>
      </c>
      <c r="HG14" s="1514">
        <f>'Koncern KFA'!AB23</f>
        <v>-92.6</v>
      </c>
      <c r="HH14" s="1514">
        <f>'Koncern KFA'!AC23</f>
        <v>-6.8999999999998991</v>
      </c>
      <c r="HJ14" s="2062">
        <f>HF14</f>
        <v>63.900000000000006</v>
      </c>
      <c r="HK14" s="2064">
        <f>HB14</f>
        <v>14.199999999999875</v>
      </c>
      <c r="HL14" s="2062">
        <f>SUM(HE14:HF14)</f>
        <v>110.69999999999999</v>
      </c>
      <c r="HM14" s="2064">
        <f>SUM(HA14:HB14)</f>
        <v>30.399999999999935</v>
      </c>
      <c r="HN14" s="2062">
        <f>SUM(HC14:HF14)</f>
        <v>91.500000000000142</v>
      </c>
      <c r="HO14" s="2063">
        <f>SUM(HA14:HD14)</f>
        <v>11.200000000000088</v>
      </c>
      <c r="HP14" s="1999"/>
      <c r="HQ14" s="310"/>
      <c r="HR14" s="310"/>
      <c r="HS14" s="310"/>
      <c r="HT14" s="310"/>
      <c r="HU14" s="310"/>
      <c r="HV14" s="310"/>
      <c r="HW14" s="310"/>
      <c r="HX14" s="310"/>
      <c r="HY14" s="310"/>
      <c r="HZ14" s="892"/>
      <c r="IA14" s="412" t="s">
        <v>239</v>
      </c>
      <c r="IB14" s="925">
        <f t="shared" si="70"/>
        <v>63.900000000000006</v>
      </c>
      <c r="IC14" s="924">
        <f t="shared" si="70"/>
        <v>14.199999999999875</v>
      </c>
      <c r="ID14" s="925">
        <f t="shared" si="70"/>
        <v>110.69999999999999</v>
      </c>
      <c r="IE14" s="924">
        <f t="shared" si="70"/>
        <v>30.399999999999935</v>
      </c>
      <c r="IF14" s="925">
        <f t="shared" si="70"/>
        <v>91.500000000000142</v>
      </c>
      <c r="IG14" s="1575">
        <f t="shared" si="70"/>
        <v>11.200000000000088</v>
      </c>
      <c r="IH14" s="1219"/>
      <c r="IJ14" s="1678">
        <f t="shared" si="5"/>
        <v>0</v>
      </c>
      <c r="IK14" s="264">
        <f t="shared" si="23"/>
        <v>5</v>
      </c>
      <c r="IL14" s="242"/>
      <c r="IM14" s="242"/>
      <c r="IN14" s="1187" t="str">
        <f t="shared" si="71"/>
        <v>Bruttoresultat exklusive avskrivningar</v>
      </c>
      <c r="IO14" s="1696"/>
      <c r="IP14" s="1696"/>
      <c r="IQ14" s="1696"/>
      <c r="IR14" s="242"/>
      <c r="IS14" s="242"/>
      <c r="IT14" s="1678">
        <f t="shared" si="7"/>
        <v>0</v>
      </c>
      <c r="IU14" s="264">
        <f t="shared" si="24"/>
        <v>5</v>
      </c>
      <c r="IV14" s="242"/>
      <c r="IW14" s="242"/>
      <c r="IX14" s="1187" t="s">
        <v>232</v>
      </c>
      <c r="IY14" s="1187"/>
      <c r="IZ14" s="1235">
        <f>SUM(IZ12:IZ13)</f>
        <v>154.00000000000011</v>
      </c>
      <c r="JA14" s="1696">
        <f t="shared" si="86"/>
        <v>0</v>
      </c>
      <c r="JB14" s="1235">
        <f>SUM(EA14)</f>
        <v>154.00000000000011</v>
      </c>
      <c r="JC14" s="242"/>
      <c r="JD14" s="242"/>
      <c r="JE14" s="242"/>
      <c r="JF14" s="1187" t="str">
        <f t="shared" si="72"/>
        <v>Bruttoresultat exklusive avskrivningar</v>
      </c>
      <c r="JG14" s="1235">
        <f t="shared" si="25"/>
        <v>154.00000000000011</v>
      </c>
      <c r="JH14" s="1696"/>
      <c r="JI14" s="1235">
        <f t="shared" si="26"/>
        <v>154.00000000000011</v>
      </c>
      <c r="JJ14" s="242"/>
      <c r="JK14" s="242"/>
      <c r="JL14" s="242"/>
      <c r="JM14" s="1187" t="s">
        <v>233</v>
      </c>
      <c r="JN14" s="1235">
        <f t="shared" si="87"/>
        <v>154.00000000000011</v>
      </c>
      <c r="JO14" s="1696"/>
      <c r="JP14" s="1235">
        <f t="shared" si="88"/>
        <v>154.00000000000011</v>
      </c>
      <c r="JQ14" s="242"/>
    </row>
    <row r="15" spans="2:277" s="269" customFormat="1" outlineLevel="1" x14ac:dyDescent="0.2">
      <c r="B15" s="264">
        <f t="shared" si="27"/>
        <v>6</v>
      </c>
      <c r="D15" s="278" t="str">
        <f>+[2]rapkvart!$B10</f>
        <v>Övriga rörelseintäkter</v>
      </c>
      <c r="E15" s="309"/>
      <c r="G15" s="1071">
        <f>[2]rapkvart!S10</f>
        <v>0.3</v>
      </c>
      <c r="H15" s="1071">
        <f>[2]rapkvart!T10</f>
        <v>0.3</v>
      </c>
      <c r="I15" s="1071">
        <f>[2]rapkvart!U10</f>
        <v>0.3</v>
      </c>
      <c r="J15" s="1071">
        <f>[2]rapkvart!V10</f>
        <v>0.6</v>
      </c>
      <c r="K15" s="1071">
        <f>[2]rapkvart!O10</f>
        <v>0.2</v>
      </c>
      <c r="L15" s="1071">
        <f>[2]rapkvart!P10</f>
        <v>0.4</v>
      </c>
      <c r="M15" s="1071">
        <f>[2]rapkvart!Q10</f>
        <v>0.6</v>
      </c>
      <c r="N15" s="1071">
        <f>[2]rapkvart!R10</f>
        <v>1.1000000000000001</v>
      </c>
      <c r="O15" s="1071">
        <f>[2]rapkvart!K10</f>
        <v>0</v>
      </c>
      <c r="P15" s="1071">
        <f>[2]rapkvart!L10</f>
        <v>0.1</v>
      </c>
      <c r="Q15" s="1071">
        <f>[2]rapkvart!M10</f>
        <v>0.6</v>
      </c>
      <c r="R15" s="1071">
        <f>[2]rapkvart!N10</f>
        <v>1.1000000000000001</v>
      </c>
      <c r="S15" s="1072"/>
      <c r="T15" s="1073">
        <f>[2]rapkvart!AE10</f>
        <v>0.3</v>
      </c>
      <c r="U15" s="1073">
        <f>[2]rapkvart!AF10</f>
        <v>0</v>
      </c>
      <c r="V15" s="1073">
        <f>[2]rapkvart!AG10</f>
        <v>0</v>
      </c>
      <c r="W15" s="1073">
        <f>[2]rapkvart!AH10</f>
        <v>0.3</v>
      </c>
      <c r="X15" s="1073">
        <f>[2]rapkvart!AA10</f>
        <v>0.2</v>
      </c>
      <c r="Y15" s="1073">
        <f>[2]rapkvart!AB10</f>
        <v>0.2</v>
      </c>
      <c r="Z15" s="1073">
        <f>[2]rapkvart!AC10</f>
        <v>0.19999999999999996</v>
      </c>
      <c r="AA15" s="1073">
        <f>[2]rapkvart!AD10</f>
        <v>0.50000000000000011</v>
      </c>
      <c r="AB15" s="1073">
        <f>[2]rapkvart!W10</f>
        <v>0</v>
      </c>
      <c r="AC15" s="1073">
        <f>[2]rapkvart!X10</f>
        <v>0.1</v>
      </c>
      <c r="AD15" s="1073">
        <f>[2]rapkvart!Y10</f>
        <v>0.5</v>
      </c>
      <c r="AE15" s="1073">
        <f>[2]rapkvart!Z10</f>
        <v>0.50000000000000011</v>
      </c>
      <c r="AV15" s="1177" t="str">
        <f t="shared" si="28"/>
        <v>Övriga rörelseintäkter</v>
      </c>
      <c r="AW15" s="1186"/>
      <c r="AX15" s="1226">
        <f t="shared" si="29"/>
        <v>0.1</v>
      </c>
      <c r="AY15" s="1227">
        <f t="shared" si="30"/>
        <v>0.2</v>
      </c>
      <c r="AZ15" s="1226">
        <f t="shared" si="31"/>
        <v>0.1</v>
      </c>
      <c r="BA15" s="1227">
        <f t="shared" si="32"/>
        <v>0.4</v>
      </c>
      <c r="BB15" s="1226">
        <f t="shared" si="33"/>
        <v>0.8</v>
      </c>
      <c r="BC15" s="1227">
        <f t="shared" si="34"/>
        <v>1.1000000000000001</v>
      </c>
      <c r="BE15" s="1177" t="s">
        <v>234</v>
      </c>
      <c r="BF15" s="1186"/>
      <c r="BG15" s="1226">
        <f t="shared" si="11"/>
        <v>0.1</v>
      </c>
      <c r="BH15" s="1227">
        <f t="shared" si="12"/>
        <v>0.2</v>
      </c>
      <c r="BI15" s="1226">
        <f t="shared" si="13"/>
        <v>0.1</v>
      </c>
      <c r="BJ15" s="1227">
        <f t="shared" si="14"/>
        <v>0.4</v>
      </c>
      <c r="BK15" s="1226">
        <f t="shared" si="15"/>
        <v>0.8</v>
      </c>
      <c r="BL15" s="1227">
        <f t="shared" si="16"/>
        <v>1.1000000000000001</v>
      </c>
      <c r="BN15" s="242"/>
      <c r="BP15" s="279" t="str">
        <f>CI15</f>
        <v>Övriga rörelseintäkter</v>
      </c>
      <c r="BQ15" s="968"/>
      <c r="BR15" s="969"/>
      <c r="BS15" s="969"/>
      <c r="BT15" s="969"/>
      <c r="BU15" s="969"/>
      <c r="BV15" s="969"/>
      <c r="BW15" s="969"/>
      <c r="BX15" s="969"/>
      <c r="BY15" s="969"/>
      <c r="BZ15" s="969"/>
      <c r="CA15" s="969"/>
      <c r="CB15" s="279"/>
      <c r="CD15" s="242"/>
      <c r="CE15" s="1288">
        <f t="shared" si="35"/>
        <v>0</v>
      </c>
      <c r="CF15" s="281">
        <f t="shared" si="36"/>
        <v>6</v>
      </c>
      <c r="CH15" s="1608"/>
      <c r="CI15" s="1021" t="s">
        <v>235</v>
      </c>
      <c r="CJ15" s="1022"/>
      <c r="CK15" s="1030">
        <f t="shared" ref="CK15:CV15" si="105">T15+BQ15</f>
        <v>0.3</v>
      </c>
      <c r="CL15" s="1030">
        <f t="shared" si="105"/>
        <v>0</v>
      </c>
      <c r="CM15" s="1030">
        <f t="shared" si="105"/>
        <v>0</v>
      </c>
      <c r="CN15" s="1030">
        <f t="shared" si="105"/>
        <v>0.3</v>
      </c>
      <c r="CO15" s="1030">
        <f t="shared" si="105"/>
        <v>0.2</v>
      </c>
      <c r="CP15" s="1030">
        <f t="shared" si="105"/>
        <v>0.2</v>
      </c>
      <c r="CQ15" s="1030">
        <f t="shared" si="105"/>
        <v>0.19999999999999996</v>
      </c>
      <c r="CR15" s="1030">
        <f t="shared" si="105"/>
        <v>0.50000000000000011</v>
      </c>
      <c r="CS15" s="1030">
        <f t="shared" si="105"/>
        <v>0</v>
      </c>
      <c r="CT15" s="1030">
        <f t="shared" si="105"/>
        <v>0.1</v>
      </c>
      <c r="CU15" s="1030">
        <f t="shared" si="105"/>
        <v>0.5</v>
      </c>
      <c r="CV15" s="1030">
        <f t="shared" si="105"/>
        <v>0.50000000000000011</v>
      </c>
      <c r="CW15" s="369"/>
      <c r="CX15" s="369"/>
      <c r="CY15" s="369"/>
      <c r="CZ15" s="369"/>
      <c r="DA15" s="369"/>
      <c r="DB15" s="369"/>
      <c r="DC15" s="369"/>
      <c r="DD15" s="369"/>
      <c r="DE15" s="369"/>
      <c r="DF15" s="369"/>
      <c r="DG15" s="369"/>
      <c r="DH15" s="369"/>
      <c r="DI15" s="369"/>
      <c r="DJ15" s="244"/>
      <c r="DK15" s="1634" t="str">
        <f t="shared" si="73"/>
        <v>Övriga rörelseintäkter</v>
      </c>
      <c r="DL15" s="1617">
        <f t="shared" si="38"/>
        <v>0</v>
      </c>
      <c r="DM15" s="1617">
        <f t="shared" si="39"/>
        <v>0</v>
      </c>
      <c r="DN15" s="1617">
        <f t="shared" si="40"/>
        <v>0</v>
      </c>
      <c r="DO15" s="1617">
        <f t="shared" si="41"/>
        <v>0</v>
      </c>
      <c r="DP15" s="1617">
        <f t="shared" si="42"/>
        <v>0</v>
      </c>
      <c r="DQ15" s="1617">
        <f t="shared" si="43"/>
        <v>0</v>
      </c>
      <c r="DR15" s="1617">
        <f t="shared" si="44"/>
        <v>0</v>
      </c>
      <c r="DS15" s="1617">
        <f t="shared" si="45"/>
        <v>0</v>
      </c>
      <c r="DT15" s="1617">
        <f t="shared" si="46"/>
        <v>0</v>
      </c>
      <c r="DU15" s="1650">
        <f t="shared" si="47"/>
        <v>0</v>
      </c>
      <c r="DV15" s="1617">
        <f t="shared" si="48"/>
        <v>0</v>
      </c>
      <c r="DW15" s="1617">
        <f t="shared" si="49"/>
        <v>0</v>
      </c>
      <c r="DX15" s="244"/>
      <c r="DY15" s="1177" t="str">
        <f>CI15</f>
        <v>Övriga rörelseintäkter</v>
      </c>
      <c r="DZ15" s="1186"/>
      <c r="EA15" s="1226">
        <f>SUM(CT15)</f>
        <v>0.1</v>
      </c>
      <c r="EB15" s="1227">
        <f>SUM(CP15)</f>
        <v>0.2</v>
      </c>
      <c r="EC15" s="1226">
        <f>SUM(CS15:CT15)</f>
        <v>0.1</v>
      </c>
      <c r="ED15" s="1227">
        <f>SUM(CO15:CP15)</f>
        <v>0.4</v>
      </c>
      <c r="EE15" s="1226">
        <f>SUM(CQ15:CT15)</f>
        <v>0.8</v>
      </c>
      <c r="EF15" s="1227">
        <f>SUM(CO15:CR15)</f>
        <v>1.1000000000000001</v>
      </c>
      <c r="EH15" s="242"/>
      <c r="EI15" s="242"/>
      <c r="EK15" s="1177" t="s">
        <v>234</v>
      </c>
      <c r="EL15" s="1186"/>
      <c r="EM15" s="1226">
        <f t="shared" si="74"/>
        <v>0.1</v>
      </c>
      <c r="EN15" s="1227">
        <f t="shared" si="75"/>
        <v>0.2</v>
      </c>
      <c r="EO15" s="1226">
        <f t="shared" si="76"/>
        <v>0.1</v>
      </c>
      <c r="EP15" s="1227">
        <f t="shared" si="77"/>
        <v>0.4</v>
      </c>
      <c r="EQ15" s="1226">
        <f t="shared" si="78"/>
        <v>0.8</v>
      </c>
      <c r="ER15" s="1227">
        <f t="shared" si="79"/>
        <v>1.1000000000000001</v>
      </c>
      <c r="ET15" s="242"/>
      <c r="EU15" s="242"/>
      <c r="EV15" s="242"/>
      <c r="FE15" s="310"/>
      <c r="FF15" s="905" t="s">
        <v>237</v>
      </c>
      <c r="FG15" s="896" t="str">
        <f>FG$10</f>
        <v>Q2</v>
      </c>
      <c r="FH15" s="897"/>
      <c r="FI15" s="896" t="str">
        <f>FI$10</f>
        <v>Q1-Q2</v>
      </c>
      <c r="FJ15" s="897"/>
      <c r="FK15" s="898" t="str">
        <f>FK$10</f>
        <v>R12, Q1</v>
      </c>
      <c r="FL15" s="898" t="str">
        <f>FL$10</f>
        <v>Full Year</v>
      </c>
      <c r="FM15" s="310"/>
      <c r="FN15" s="2155" t="s">
        <v>879</v>
      </c>
      <c r="FO15" s="242"/>
      <c r="FP15" s="2163">
        <f t="shared" ref="FP15:FU16" si="106">_xlfn.XLOOKUP($FN15,$EW$18:$EW$29,EX$18:EX$29,,,)</f>
        <v>-46.927143999999998</v>
      </c>
      <c r="FQ15" s="2164">
        <f t="shared" si="106"/>
        <v>-46.524999999999999</v>
      </c>
      <c r="FR15" s="2163">
        <f t="shared" si="106"/>
        <v>-93.227786000000009</v>
      </c>
      <c r="FS15" s="2164">
        <f t="shared" si="106"/>
        <v>-93.05</v>
      </c>
      <c r="FT15" s="2163">
        <f t="shared" si="106"/>
        <v>-186.27778599999999</v>
      </c>
      <c r="FU15" s="2164">
        <f t="shared" si="106"/>
        <v>-186.1</v>
      </c>
      <c r="FV15" s="2235"/>
      <c r="FW15" s="2163">
        <f t="shared" ref="FW15:GB15" si="107">_xlfn.XLOOKUP($FN15,$EW$33:$EW$44,EX$33:EX$44,,,)*-1</f>
        <v>-21.699999999999996</v>
      </c>
      <c r="FX15" s="2164">
        <f t="shared" si="107"/>
        <v>-22.8</v>
      </c>
      <c r="FY15" s="2163">
        <f t="shared" si="107"/>
        <v>-43.7</v>
      </c>
      <c r="FZ15" s="2164">
        <f t="shared" si="107"/>
        <v>-44.7</v>
      </c>
      <c r="GA15" s="2159">
        <f t="shared" si="107"/>
        <v>-87.699999999999989</v>
      </c>
      <c r="GB15" s="2160">
        <f t="shared" si="107"/>
        <v>-88.7</v>
      </c>
      <c r="GC15" s="310"/>
      <c r="GD15" s="1577" t="s">
        <v>880</v>
      </c>
      <c r="GE15" s="242"/>
      <c r="GF15" s="2339">
        <f t="shared" si="93"/>
        <v>-46.927143999999998</v>
      </c>
      <c r="GG15" s="2340">
        <f t="shared" si="94"/>
        <v>-46.524999999999999</v>
      </c>
      <c r="GH15" s="2339">
        <f t="shared" si="95"/>
        <v>-93.227786000000009</v>
      </c>
      <c r="GI15" s="2340">
        <f t="shared" si="96"/>
        <v>-93.05</v>
      </c>
      <c r="GJ15" s="908">
        <f t="shared" si="97"/>
        <v>-186.27778599999999</v>
      </c>
      <c r="GK15" s="2032">
        <f t="shared" si="98"/>
        <v>-186.1</v>
      </c>
      <c r="GL15" s="242"/>
      <c r="GM15" s="2339">
        <f t="shared" si="99"/>
        <v>-21.699999999999996</v>
      </c>
      <c r="GN15" s="2340">
        <f t="shared" si="100"/>
        <v>-22.8</v>
      </c>
      <c r="GO15" s="2339">
        <f t="shared" si="101"/>
        <v>-43.7</v>
      </c>
      <c r="GP15" s="2340">
        <f t="shared" si="102"/>
        <v>-44.7</v>
      </c>
      <c r="GQ15" s="908">
        <f t="shared" si="103"/>
        <v>-87.699999999999989</v>
      </c>
      <c r="GR15" s="2032">
        <f t="shared" si="104"/>
        <v>-88.7</v>
      </c>
      <c r="GS15" s="242"/>
      <c r="GT15" s="242"/>
      <c r="GU15" s="412" t="s">
        <v>243</v>
      </c>
      <c r="GV15" s="242"/>
      <c r="GW15" s="1520">
        <f>[2]rapkvart!AE153</f>
        <v>15.2</v>
      </c>
      <c r="GX15" s="1520">
        <f>[2]rapkvart!AF153</f>
        <v>17.500000000000004</v>
      </c>
      <c r="GY15" s="1520">
        <f>[2]rapkvart!AG153</f>
        <v>23.5</v>
      </c>
      <c r="GZ15" s="1520">
        <f>[2]rapkvart!AH153</f>
        <v>15.599999999999994</v>
      </c>
      <c r="HA15" s="1520">
        <f>[2]rapkvart!AA153</f>
        <v>16.899999999999999</v>
      </c>
      <c r="HB15" s="1520">
        <f>[2]rapkvart!AB153</f>
        <v>24.9</v>
      </c>
      <c r="HC15" s="1520">
        <f>[2]rapkvart!AC153</f>
        <v>24.900000000000006</v>
      </c>
      <c r="HD15" s="1520">
        <f>[2]rapkvart!AD153</f>
        <v>12.299999999999997</v>
      </c>
      <c r="HE15" s="1520">
        <f>[2]rapkvart!W153</f>
        <v>10.9</v>
      </c>
      <c r="HF15" s="1520">
        <f>[2]rapkvart!X153</f>
        <v>10.999999999999998</v>
      </c>
      <c r="HG15" s="1520">
        <f>[2]rapkvart!Y153</f>
        <v>44.800000000000004</v>
      </c>
      <c r="HH15" s="1520">
        <f>[2]rapkvart!Z153</f>
        <v>12.299999999999997</v>
      </c>
      <c r="HJ15" s="2062">
        <f>HF15</f>
        <v>10.999999999999998</v>
      </c>
      <c r="HK15" s="2064">
        <f>HB15</f>
        <v>24.9</v>
      </c>
      <c r="HL15" s="2062">
        <f>SUM(HE15:HF15)</f>
        <v>21.9</v>
      </c>
      <c r="HM15" s="2064">
        <f>SUM(HA15:HB15)</f>
        <v>41.8</v>
      </c>
      <c r="HN15" s="2062">
        <f>SUM(HC15:HF15)</f>
        <v>59.1</v>
      </c>
      <c r="HO15" s="2063">
        <f>SUM(HA15:HD15)</f>
        <v>79</v>
      </c>
      <c r="HP15" s="1999"/>
      <c r="HQ15" s="310"/>
      <c r="HR15" s="310"/>
      <c r="HS15" s="310"/>
      <c r="HT15" s="310"/>
      <c r="HU15" s="310"/>
      <c r="HV15" s="310"/>
      <c r="HW15" s="310"/>
      <c r="HX15" s="310"/>
      <c r="HY15" s="310"/>
      <c r="HZ15" s="892"/>
      <c r="IA15" s="412" t="s">
        <v>244</v>
      </c>
      <c r="IB15" s="925">
        <f t="shared" si="70"/>
        <v>10.999999999999998</v>
      </c>
      <c r="IC15" s="924">
        <f t="shared" si="70"/>
        <v>24.9</v>
      </c>
      <c r="ID15" s="925">
        <f t="shared" si="70"/>
        <v>21.9</v>
      </c>
      <c r="IE15" s="924">
        <f t="shared" si="70"/>
        <v>41.8</v>
      </c>
      <c r="IF15" s="925">
        <f t="shared" si="70"/>
        <v>59.1</v>
      </c>
      <c r="IG15" s="1575">
        <f t="shared" si="70"/>
        <v>79</v>
      </c>
      <c r="IH15" s="1219"/>
      <c r="IJ15" s="1678">
        <f t="shared" si="5"/>
        <v>0</v>
      </c>
      <c r="IK15" s="264">
        <f t="shared" si="23"/>
        <v>6</v>
      </c>
      <c r="IL15" s="242"/>
      <c r="IM15" s="242"/>
      <c r="IN15" s="1177" t="str">
        <f t="shared" si="71"/>
        <v>Övriga rörelseintäkter</v>
      </c>
      <c r="IO15" s="1694"/>
      <c r="IP15" s="1694"/>
      <c r="IQ15" s="1694"/>
      <c r="IR15" s="242"/>
      <c r="IS15" s="242"/>
      <c r="IT15" s="1678">
        <f t="shared" si="7"/>
        <v>0</v>
      </c>
      <c r="IU15" s="264">
        <f t="shared" si="24"/>
        <v>6</v>
      </c>
      <c r="IV15" s="242"/>
      <c r="IW15" s="242"/>
      <c r="IX15" s="1177" t="s">
        <v>235</v>
      </c>
      <c r="IY15" s="1177"/>
      <c r="IZ15" s="1226">
        <f>AX15</f>
        <v>0.1</v>
      </c>
      <c r="JA15" s="1694">
        <f t="shared" si="86"/>
        <v>0</v>
      </c>
      <c r="JB15" s="1226">
        <f>SUM(EA15)</f>
        <v>0.1</v>
      </c>
      <c r="JC15" s="242"/>
      <c r="JD15" s="242"/>
      <c r="JE15" s="242"/>
      <c r="JF15" s="1177" t="str">
        <f t="shared" si="72"/>
        <v>Övriga rörelseintäkter</v>
      </c>
      <c r="JG15" s="1226">
        <f t="shared" si="25"/>
        <v>0.1</v>
      </c>
      <c r="JH15" s="1694"/>
      <c r="JI15" s="1226">
        <f t="shared" si="26"/>
        <v>0.1</v>
      </c>
      <c r="JJ15" s="242"/>
      <c r="JK15" s="242"/>
      <c r="JL15" s="242"/>
      <c r="JM15" s="1177" t="s">
        <v>240</v>
      </c>
      <c r="JN15" s="1226">
        <f t="shared" si="87"/>
        <v>0.1</v>
      </c>
      <c r="JO15" s="1694"/>
      <c r="JP15" s="1226">
        <f t="shared" si="88"/>
        <v>0.1</v>
      </c>
      <c r="JQ15" s="242"/>
    </row>
    <row r="16" spans="2:277" s="269" customFormat="1" outlineLevel="1" x14ac:dyDescent="0.2">
      <c r="B16" s="264">
        <f t="shared" si="27"/>
        <v>7</v>
      </c>
      <c r="D16" s="288" t="str">
        <f>+[2]rapkvart!$B11</f>
        <v xml:space="preserve">Försäljningskostnader </v>
      </c>
      <c r="E16" s="289"/>
      <c r="G16" s="1071">
        <f>[2]rapkvart!S11</f>
        <v>-19.2</v>
      </c>
      <c r="H16" s="1071">
        <f>[2]rapkvart!T11</f>
        <v>-39.5</v>
      </c>
      <c r="I16" s="1071">
        <f>[2]rapkvart!U11</f>
        <v>-56.6</v>
      </c>
      <c r="J16" s="1071">
        <f>[2]rapkvart!V11</f>
        <v>-78</v>
      </c>
      <c r="K16" s="1071">
        <f>[2]rapkvart!O11</f>
        <v>-20.2</v>
      </c>
      <c r="L16" s="1071">
        <f>[2]rapkvart!P11</f>
        <v>-42.5</v>
      </c>
      <c r="M16" s="1071">
        <f>[2]rapkvart!Q11</f>
        <v>-60.1</v>
      </c>
      <c r="N16" s="1071">
        <f>[2]rapkvart!R11</f>
        <v>-87.3</v>
      </c>
      <c r="O16" s="1071">
        <f>[2]rapkvart!K11</f>
        <v>-22.1</v>
      </c>
      <c r="P16" s="1071">
        <f>[2]rapkvart!L11</f>
        <v>-44</v>
      </c>
      <c r="Q16" s="1071">
        <f>[2]rapkvart!M11</f>
        <v>-60.1</v>
      </c>
      <c r="R16" s="1071">
        <f>[2]rapkvart!N11</f>
        <v>-87.3</v>
      </c>
      <c r="S16" s="1072"/>
      <c r="T16" s="1073">
        <f>[2]rapkvart!AE11</f>
        <v>-19.2</v>
      </c>
      <c r="U16" s="1073">
        <f>[2]rapkvart!AF11</f>
        <v>-20.3</v>
      </c>
      <c r="V16" s="1073">
        <f>[2]rapkvart!AG11</f>
        <v>-17.100000000000001</v>
      </c>
      <c r="W16" s="1073">
        <f>[2]rapkvart!AH11</f>
        <v>-21.4</v>
      </c>
      <c r="X16" s="1073">
        <f>[2]rapkvart!AA11</f>
        <v>-20.2</v>
      </c>
      <c r="Y16" s="1073">
        <f>[2]rapkvart!AB11</f>
        <v>-22.3</v>
      </c>
      <c r="Z16" s="1073">
        <f>[2]rapkvart!AC11</f>
        <v>-17.600000000000001</v>
      </c>
      <c r="AA16" s="1073">
        <f>[2]rapkvart!AD11</f>
        <v>-27.199999999999996</v>
      </c>
      <c r="AB16" s="1073">
        <f>[2]rapkvart!W11</f>
        <v>-22.1</v>
      </c>
      <c r="AC16" s="1073">
        <f>[2]rapkvart!X11</f>
        <v>-21.9</v>
      </c>
      <c r="AD16" s="1073">
        <f>[2]rapkvart!Y11</f>
        <v>-16.100000000000001</v>
      </c>
      <c r="AE16" s="1073">
        <f>[2]rapkvart!Z11</f>
        <v>-27.199999999999996</v>
      </c>
      <c r="AV16" s="1183" t="str">
        <f t="shared" si="28"/>
        <v xml:space="preserve">Försäljningskostnader </v>
      </c>
      <c r="AW16" s="1182"/>
      <c r="AX16" s="1232">
        <f t="shared" si="29"/>
        <v>-21.9</v>
      </c>
      <c r="AY16" s="1233">
        <f t="shared" si="30"/>
        <v>-22.3</v>
      </c>
      <c r="AZ16" s="1232">
        <f t="shared" si="31"/>
        <v>-44</v>
      </c>
      <c r="BA16" s="1233">
        <f t="shared" si="32"/>
        <v>-42.5</v>
      </c>
      <c r="BB16" s="1232">
        <f t="shared" si="33"/>
        <v>-88.800000000000011</v>
      </c>
      <c r="BC16" s="1233">
        <f t="shared" si="34"/>
        <v>-87.3</v>
      </c>
      <c r="BE16" s="1183" t="s">
        <v>241</v>
      </c>
      <c r="BF16" s="1182"/>
      <c r="BG16" s="1232">
        <f>AX16</f>
        <v>-21.9</v>
      </c>
      <c r="BH16" s="1233">
        <f t="shared" si="12"/>
        <v>-22.3</v>
      </c>
      <c r="BI16" s="1232">
        <f t="shared" si="13"/>
        <v>-44</v>
      </c>
      <c r="BJ16" s="1233">
        <f t="shared" si="14"/>
        <v>-42.5</v>
      </c>
      <c r="BK16" s="1232">
        <f t="shared" si="15"/>
        <v>-88.800000000000011</v>
      </c>
      <c r="BL16" s="1233">
        <f t="shared" si="16"/>
        <v>-87.3</v>
      </c>
      <c r="BN16" s="242"/>
      <c r="BP16" s="279" t="str">
        <f>CI16</f>
        <v>Försäljnings- och administrationskostnader</v>
      </c>
      <c r="BQ16" s="968"/>
      <c r="BR16" s="969"/>
      <c r="BS16" s="969"/>
      <c r="BT16" s="969"/>
      <c r="BU16" s="969"/>
      <c r="BV16" s="969"/>
      <c r="BW16" s="969"/>
      <c r="BX16" s="969"/>
      <c r="BY16" s="969"/>
      <c r="BZ16" s="969"/>
      <c r="CA16" s="969"/>
      <c r="CB16" s="279"/>
      <c r="CD16" s="242"/>
      <c r="CE16" s="1288">
        <f t="shared" si="35"/>
        <v>1</v>
      </c>
      <c r="CF16" s="281">
        <f t="shared" si="36"/>
        <v>7</v>
      </c>
      <c r="CH16" s="1608"/>
      <c r="CI16" s="1026" t="s">
        <v>74</v>
      </c>
      <c r="CJ16" s="1024"/>
      <c r="CK16" s="1279">
        <f t="shared" ref="CK16:CV16" si="108">(T16+BQ16)+(T17+BQ17)</f>
        <v>-33.5</v>
      </c>
      <c r="CL16" s="1279">
        <f t="shared" si="108"/>
        <v>-34.799999999999997</v>
      </c>
      <c r="CM16" s="1279">
        <f t="shared" si="108"/>
        <v>-29.000000000000004</v>
      </c>
      <c r="CN16" s="1279">
        <f t="shared" si="108"/>
        <v>-36.699999999999996</v>
      </c>
      <c r="CO16" s="1279">
        <f t="shared" si="108"/>
        <v>-34.4</v>
      </c>
      <c r="CP16" s="1279">
        <f t="shared" si="108"/>
        <v>-37.1</v>
      </c>
      <c r="CQ16" s="1279">
        <f t="shared" si="108"/>
        <v>-29</v>
      </c>
      <c r="CR16" s="1279">
        <f t="shared" si="108"/>
        <v>-40.299999999999997</v>
      </c>
      <c r="CS16" s="1279">
        <f t="shared" si="108"/>
        <v>-39.5</v>
      </c>
      <c r="CT16" s="1279">
        <f t="shared" si="108"/>
        <v>-40</v>
      </c>
      <c r="CU16" s="1279">
        <f t="shared" si="108"/>
        <v>-21</v>
      </c>
      <c r="CV16" s="1279">
        <f t="shared" si="108"/>
        <v>-40.299999999999997</v>
      </c>
      <c r="CW16" s="369"/>
      <c r="CX16" s="369"/>
      <c r="CY16" s="369"/>
      <c r="CZ16" s="369"/>
      <c r="DA16" s="369"/>
      <c r="DB16" s="369"/>
      <c r="DC16" s="369"/>
      <c r="DD16" s="369"/>
      <c r="DE16" s="369"/>
      <c r="DF16" s="369"/>
      <c r="DG16" s="369"/>
      <c r="DH16" s="369"/>
      <c r="DI16" s="369"/>
      <c r="DJ16" s="244"/>
      <c r="DK16" s="1632" t="str">
        <f t="shared" si="73"/>
        <v>Försäljnings- och administrationskostnader</v>
      </c>
      <c r="DL16" s="1615">
        <f t="shared" si="38"/>
        <v>-14.3</v>
      </c>
      <c r="DM16" s="1615">
        <f t="shared" si="39"/>
        <v>-14.499999999999996</v>
      </c>
      <c r="DN16" s="1615">
        <f t="shared" si="40"/>
        <v>-11.900000000000002</v>
      </c>
      <c r="DO16" s="1615">
        <f t="shared" si="41"/>
        <v>-15.299999999999997</v>
      </c>
      <c r="DP16" s="1615">
        <f t="shared" si="42"/>
        <v>-14.2</v>
      </c>
      <c r="DQ16" s="1615">
        <f t="shared" si="43"/>
        <v>-14.8</v>
      </c>
      <c r="DR16" s="1615">
        <f t="shared" si="44"/>
        <v>-11.399999999999999</v>
      </c>
      <c r="DS16" s="1615">
        <f t="shared" si="45"/>
        <v>-13.100000000000001</v>
      </c>
      <c r="DT16" s="1615">
        <f t="shared" si="46"/>
        <v>-17.399999999999999</v>
      </c>
      <c r="DU16" s="1648">
        <f t="shared" si="47"/>
        <v>-18.100000000000001</v>
      </c>
      <c r="DV16" s="1615">
        <f t="shared" si="48"/>
        <v>-4.8999999999999986</v>
      </c>
      <c r="DW16" s="1615">
        <f t="shared" si="49"/>
        <v>-13.100000000000001</v>
      </c>
      <c r="DX16" s="244"/>
      <c r="DY16" s="1183" t="str">
        <f>CI16</f>
        <v>Försäljnings- och administrationskostnader</v>
      </c>
      <c r="DZ16" s="1182"/>
      <c r="EA16" s="1232">
        <f>SUM(CT16)</f>
        <v>-40</v>
      </c>
      <c r="EB16" s="1233">
        <f>SUM(CP16)</f>
        <v>-37.1</v>
      </c>
      <c r="EC16" s="1232">
        <f>SUM(CS16:CT16)</f>
        <v>-79.5</v>
      </c>
      <c r="ED16" s="1233">
        <f>SUM(CO16:CP16)</f>
        <v>-71.5</v>
      </c>
      <c r="EE16" s="1232">
        <f>SUM(CQ16:CT16)</f>
        <v>-148.80000000000001</v>
      </c>
      <c r="EF16" s="1233">
        <f>SUM(CO16:CR16)</f>
        <v>-140.80000000000001</v>
      </c>
      <c r="EH16" s="242"/>
      <c r="EI16" s="242"/>
      <c r="EK16" s="1183" t="s">
        <v>242</v>
      </c>
      <c r="EL16" s="1182"/>
      <c r="EM16" s="1232">
        <f t="shared" si="74"/>
        <v>-40</v>
      </c>
      <c r="EN16" s="1233">
        <f t="shared" si="75"/>
        <v>-37.1</v>
      </c>
      <c r="EO16" s="1232">
        <f t="shared" si="76"/>
        <v>-79.5</v>
      </c>
      <c r="EP16" s="1233">
        <f t="shared" si="77"/>
        <v>-71.5</v>
      </c>
      <c r="EQ16" s="1232">
        <f t="shared" si="78"/>
        <v>-148.80000000000001</v>
      </c>
      <c r="ER16" s="1233">
        <f t="shared" si="79"/>
        <v>-140.80000000000001</v>
      </c>
      <c r="ET16" s="242"/>
      <c r="EU16" s="242"/>
      <c r="EV16" s="242"/>
      <c r="EW16" s="2428" t="s">
        <v>236</v>
      </c>
      <c r="EX16" s="896" t="str">
        <f>EX$10</f>
        <v>Kvartal 2</v>
      </c>
      <c r="EY16" s="897"/>
      <c r="EZ16" s="896" t="str">
        <f>EZ$10</f>
        <v>Kvartal 1-2</v>
      </c>
      <c r="FA16" s="897"/>
      <c r="FB16" s="898" t="str">
        <f>FB$10</f>
        <v>Kvartal 2, R12</v>
      </c>
      <c r="FC16" s="898" t="str">
        <f>FC$10</f>
        <v>Helår</v>
      </c>
      <c r="FD16" s="310"/>
      <c r="FE16" s="310"/>
      <c r="FF16" s="906"/>
      <c r="FG16" s="900">
        <f>FG$11</f>
        <v>2026</v>
      </c>
      <c r="FH16" s="900">
        <f t="shared" ref="FH16:FL16" si="109">FH$11</f>
        <v>2025</v>
      </c>
      <c r="FI16" s="900">
        <f>FI$11</f>
        <v>2026</v>
      </c>
      <c r="FJ16" s="900">
        <f t="shared" si="109"/>
        <v>2025</v>
      </c>
      <c r="FK16" s="900">
        <f t="shared" si="109"/>
        <v>2026</v>
      </c>
      <c r="FL16" s="900">
        <f t="shared" si="109"/>
        <v>2025</v>
      </c>
      <c r="FM16" s="310"/>
      <c r="FN16" s="2155" t="str">
        <f>EW19</f>
        <v>Rörelseresultat, Mkr</v>
      </c>
      <c r="FO16" s="242"/>
      <c r="FP16" s="2163">
        <f t="shared" si="106"/>
        <v>67.17285600000011</v>
      </c>
      <c r="FQ16" s="2164">
        <f t="shared" si="106"/>
        <v>16.674999999999798</v>
      </c>
      <c r="FR16" s="2163">
        <f t="shared" si="106"/>
        <v>93.272214000000076</v>
      </c>
      <c r="FS16" s="2164">
        <f t="shared" si="106"/>
        <v>49.549999999999862</v>
      </c>
      <c r="FT16" s="2163">
        <f t="shared" si="106"/>
        <v>94.922214000000281</v>
      </c>
      <c r="FU16" s="2164">
        <f t="shared" si="106"/>
        <v>51.200000000000053</v>
      </c>
      <c r="FV16" s="2235"/>
      <c r="FW16" s="2163">
        <f t="shared" ref="FW16:GB16" si="110">_xlfn.XLOOKUP($FN16,$EW$33:$EW$44,EX$33:EX$44,,,)</f>
        <v>92.400000000000063</v>
      </c>
      <c r="FX16" s="2164">
        <f t="shared" si="110"/>
        <v>40.399999999999849</v>
      </c>
      <c r="FY16" s="2163">
        <f t="shared" si="110"/>
        <v>142.80000000000004</v>
      </c>
      <c r="FZ16" s="2164">
        <f t="shared" si="110"/>
        <v>97.899999999999949</v>
      </c>
      <c r="GA16" s="2159">
        <f t="shared" si="110"/>
        <v>193.50000000000023</v>
      </c>
      <c r="GB16" s="2160">
        <f t="shared" si="110"/>
        <v>148.60000000000014</v>
      </c>
      <c r="GC16" s="310"/>
      <c r="GD16" s="1577" t="s">
        <v>315</v>
      </c>
      <c r="GE16" s="242"/>
      <c r="GF16" s="2339">
        <f t="shared" si="93"/>
        <v>67.17285600000011</v>
      </c>
      <c r="GG16" s="2340">
        <f t="shared" si="94"/>
        <v>16.674999999999798</v>
      </c>
      <c r="GH16" s="2339">
        <f t="shared" si="95"/>
        <v>93.272214000000076</v>
      </c>
      <c r="GI16" s="2340">
        <f t="shared" si="96"/>
        <v>49.549999999999862</v>
      </c>
      <c r="GJ16" s="908">
        <f t="shared" si="97"/>
        <v>94.922214000000281</v>
      </c>
      <c r="GK16" s="2032">
        <f t="shared" si="98"/>
        <v>51.200000000000053</v>
      </c>
      <c r="GL16" s="242"/>
      <c r="GM16" s="2339">
        <f t="shared" si="99"/>
        <v>92.400000000000063</v>
      </c>
      <c r="GN16" s="2340">
        <f t="shared" si="100"/>
        <v>40.399999999999849</v>
      </c>
      <c r="GO16" s="2339">
        <f t="shared" si="101"/>
        <v>142.80000000000004</v>
      </c>
      <c r="GP16" s="2340">
        <f t="shared" si="102"/>
        <v>97.899999999999949</v>
      </c>
      <c r="GQ16" s="908">
        <f t="shared" si="103"/>
        <v>193.50000000000023</v>
      </c>
      <c r="GR16" s="2032">
        <f t="shared" si="104"/>
        <v>148.60000000000014</v>
      </c>
      <c r="GS16" s="242"/>
      <c r="GT16" s="242"/>
      <c r="GU16" s="412"/>
      <c r="GV16" s="242"/>
      <c r="GW16" s="924"/>
      <c r="GX16" s="924"/>
      <c r="GY16" s="924"/>
      <c r="GZ16" s="924"/>
      <c r="HA16" s="924"/>
      <c r="HB16" s="924"/>
      <c r="HC16" s="924"/>
      <c r="HD16" s="924"/>
      <c r="HE16" s="924"/>
      <c r="HF16" s="924"/>
      <c r="HG16" s="924"/>
      <c r="HH16" s="924"/>
      <c r="HJ16" s="925"/>
      <c r="HK16" s="924"/>
      <c r="HL16" s="925"/>
      <c r="HM16" s="924"/>
      <c r="HN16" s="925"/>
      <c r="HO16" s="1575"/>
      <c r="HP16" s="1999"/>
      <c r="HQ16" s="310"/>
      <c r="HR16" s="310"/>
      <c r="HS16" s="310"/>
      <c r="HT16" s="310"/>
      <c r="HU16" s="310"/>
      <c r="HV16" s="310"/>
      <c r="HW16" s="310"/>
      <c r="HX16" s="310"/>
      <c r="HY16" s="310"/>
      <c r="HZ16" s="892"/>
      <c r="IA16" s="412"/>
      <c r="IB16" s="925"/>
      <c r="IC16" s="924"/>
      <c r="ID16" s="925"/>
      <c r="IE16" s="924"/>
      <c r="IF16" s="925"/>
      <c r="IG16" s="1575"/>
      <c r="IH16" s="1219"/>
      <c r="IJ16" s="1678">
        <f t="shared" si="5"/>
        <v>0</v>
      </c>
      <c r="IK16" s="264">
        <f t="shared" si="23"/>
        <v>7</v>
      </c>
      <c r="IL16" s="242"/>
      <c r="IM16" s="242"/>
      <c r="IN16" s="1183" t="str">
        <f t="shared" si="71"/>
        <v>Försäljnings- och administrationskostnader</v>
      </c>
      <c r="IO16" s="1242"/>
      <c r="IP16" s="1242"/>
      <c r="IQ16" s="1242"/>
      <c r="IR16" s="242"/>
      <c r="IS16" s="242"/>
      <c r="IT16" s="1678">
        <f t="shared" si="7"/>
        <v>0</v>
      </c>
      <c r="IU16" s="264">
        <f t="shared" si="24"/>
        <v>7</v>
      </c>
      <c r="IV16" s="242"/>
      <c r="IW16" s="1705"/>
      <c r="IX16" s="1183" t="s">
        <v>74</v>
      </c>
      <c r="IY16" s="1183"/>
      <c r="IZ16" s="1721">
        <f>SUM(AX16:AX17)</f>
        <v>-40</v>
      </c>
      <c r="JA16" s="1242">
        <f t="shared" si="86"/>
        <v>0</v>
      </c>
      <c r="JB16" s="1232">
        <f>SUM(EA16)</f>
        <v>-40</v>
      </c>
      <c r="JC16" s="242"/>
      <c r="JD16" s="242"/>
      <c r="JE16" s="242"/>
      <c r="JF16" s="1183" t="str">
        <f t="shared" si="72"/>
        <v>Försäljnings- och administrationskostnader</v>
      </c>
      <c r="JG16" s="1232">
        <f t="shared" si="25"/>
        <v>-40</v>
      </c>
      <c r="JH16" s="1242"/>
      <c r="JI16" s="1232">
        <f t="shared" si="26"/>
        <v>-40</v>
      </c>
      <c r="JJ16" s="242"/>
      <c r="JK16" s="242"/>
      <c r="JL16" s="242"/>
      <c r="JM16" s="1183" t="s">
        <v>245</v>
      </c>
      <c r="JN16" s="1232">
        <f t="shared" si="87"/>
        <v>-40</v>
      </c>
      <c r="JO16" s="1242"/>
      <c r="JP16" s="1232">
        <f t="shared" si="88"/>
        <v>-40</v>
      </c>
      <c r="JQ16" s="242"/>
    </row>
    <row r="17" spans="2:2045 2050:3071 3076:5117 5122:6143 6148:8189 8194:9215 9220:11261 11266:12287 12292:14333 14338:15359 15364:16379" s="269" customFormat="1" outlineLevel="2" x14ac:dyDescent="0.2">
      <c r="B17" s="264">
        <f t="shared" si="27"/>
        <v>8</v>
      </c>
      <c r="D17" s="278" t="str">
        <f>+[2]rapkvart!$B12</f>
        <v xml:space="preserve">Administrationskostnader </v>
      </c>
      <c r="E17" s="309"/>
      <c r="G17" s="1071">
        <f>[2]rapkvart!S12</f>
        <v>-14.3</v>
      </c>
      <c r="H17" s="1071">
        <f>[2]rapkvart!T12</f>
        <v>-28.8</v>
      </c>
      <c r="I17" s="1071">
        <f>[2]rapkvart!U12</f>
        <v>-40.700000000000003</v>
      </c>
      <c r="J17" s="1071">
        <f>[2]rapkvart!V12</f>
        <v>-56</v>
      </c>
      <c r="K17" s="1071">
        <f>[2]rapkvart!O12</f>
        <v>-14.2</v>
      </c>
      <c r="L17" s="1071">
        <f>[2]rapkvart!P12</f>
        <v>-29</v>
      </c>
      <c r="M17" s="1071">
        <f>[2]rapkvart!Q12</f>
        <v>-40.4</v>
      </c>
      <c r="N17" s="1071">
        <f>[2]rapkvart!R12</f>
        <v>-53.5</v>
      </c>
      <c r="O17" s="1071">
        <f>[2]rapkvart!K12</f>
        <v>-17.399999999999999</v>
      </c>
      <c r="P17" s="1071">
        <f>[2]rapkvart!L12</f>
        <v>-35.5</v>
      </c>
      <c r="Q17" s="1071">
        <f>[2]rapkvart!M12</f>
        <v>-40.4</v>
      </c>
      <c r="R17" s="1071">
        <f>[2]rapkvart!N12</f>
        <v>-53.5</v>
      </c>
      <c r="S17" s="1072"/>
      <c r="T17" s="1073">
        <f>[2]rapkvart!AE12</f>
        <v>-14.3</v>
      </c>
      <c r="U17" s="1073">
        <f>[2]rapkvart!AF12</f>
        <v>-14.5</v>
      </c>
      <c r="V17" s="1073">
        <f>[2]rapkvart!AG12</f>
        <v>-11.900000000000002</v>
      </c>
      <c r="W17" s="1073">
        <f>[2]rapkvart!AH12</f>
        <v>-15.299999999999997</v>
      </c>
      <c r="X17" s="1073">
        <f>[2]rapkvart!AA12</f>
        <v>-14.2</v>
      </c>
      <c r="Y17" s="1073">
        <f>[2]rapkvart!AB12</f>
        <v>-14.8</v>
      </c>
      <c r="Z17" s="1073">
        <f>[2]rapkvart!AC12</f>
        <v>-11.399999999999999</v>
      </c>
      <c r="AA17" s="1073">
        <f>[2]rapkvart!AD12</f>
        <v>-13.100000000000001</v>
      </c>
      <c r="AB17" s="1073">
        <f>[2]rapkvart!W12</f>
        <v>-17.399999999999999</v>
      </c>
      <c r="AC17" s="1073">
        <f>[2]rapkvart!X12</f>
        <v>-18.100000000000001</v>
      </c>
      <c r="AD17" s="1073">
        <f>[2]rapkvart!Y12</f>
        <v>-4.8999999999999986</v>
      </c>
      <c r="AE17" s="1073">
        <f>[2]rapkvart!Z12</f>
        <v>-13.100000000000001</v>
      </c>
      <c r="AV17" s="1689" t="str">
        <f t="shared" si="28"/>
        <v xml:space="preserve">Administrationskostnader </v>
      </c>
      <c r="AW17" s="1683"/>
      <c r="AX17" s="1688">
        <f t="shared" si="29"/>
        <v>-18.100000000000001</v>
      </c>
      <c r="AY17" s="1687">
        <f t="shared" si="30"/>
        <v>-14.8</v>
      </c>
      <c r="AZ17" s="1688">
        <f t="shared" si="31"/>
        <v>-35.5</v>
      </c>
      <c r="BA17" s="1687">
        <f t="shared" si="32"/>
        <v>-29</v>
      </c>
      <c r="BB17" s="1685">
        <f t="shared" si="33"/>
        <v>-60</v>
      </c>
      <c r="BC17" s="1687">
        <f t="shared" si="34"/>
        <v>-53.5</v>
      </c>
      <c r="BE17" s="278" t="s">
        <v>246</v>
      </c>
      <c r="BF17" s="309"/>
      <c r="BG17" s="1197">
        <f t="shared" si="11"/>
        <v>-18.100000000000001</v>
      </c>
      <c r="BH17" s="1198">
        <f t="shared" si="12"/>
        <v>-14.8</v>
      </c>
      <c r="BI17" s="1197">
        <f>AZ17</f>
        <v>-35.5</v>
      </c>
      <c r="BJ17" s="1198">
        <f t="shared" si="14"/>
        <v>-29</v>
      </c>
      <c r="BK17" s="1197">
        <f t="shared" si="15"/>
        <v>-60</v>
      </c>
      <c r="BL17" s="1198">
        <f t="shared" si="16"/>
        <v>-53.5</v>
      </c>
      <c r="BN17" s="242"/>
      <c r="BP17" s="314" t="s">
        <v>247</v>
      </c>
      <c r="BQ17" s="970"/>
      <c r="BR17" s="970"/>
      <c r="BS17" s="970"/>
      <c r="BT17" s="970"/>
      <c r="BU17" s="970"/>
      <c r="BV17" s="970"/>
      <c r="BW17" s="970"/>
      <c r="BX17" s="970"/>
      <c r="BY17" s="970"/>
      <c r="BZ17" s="970"/>
      <c r="CA17" s="970"/>
      <c r="CB17" s="314"/>
      <c r="CD17" s="242"/>
      <c r="CE17" s="1288">
        <f t="shared" si="35"/>
        <v>1</v>
      </c>
      <c r="CF17" s="281">
        <f t="shared" si="36"/>
        <v>8</v>
      </c>
      <c r="CG17" s="282"/>
      <c r="CH17" s="1609"/>
      <c r="CI17" s="1374" t="s">
        <v>247</v>
      </c>
      <c r="CJ17" s="1364"/>
      <c r="CK17" s="1078"/>
      <c r="CL17" s="1078"/>
      <c r="CM17" s="1078"/>
      <c r="CN17" s="1078"/>
      <c r="CO17" s="1078"/>
      <c r="CP17" s="1078"/>
      <c r="CQ17" s="1078"/>
      <c r="CR17" s="1078"/>
      <c r="CS17" s="1078"/>
      <c r="CT17" s="1078"/>
      <c r="CU17" s="1078"/>
      <c r="CV17" s="1078"/>
      <c r="CW17" s="1009"/>
      <c r="CX17" s="1009"/>
      <c r="CY17" s="1009"/>
      <c r="CZ17" s="1009"/>
      <c r="DA17" s="1009"/>
      <c r="DB17" s="1009"/>
      <c r="DC17" s="1009"/>
      <c r="DD17" s="1009"/>
      <c r="DE17" s="1009"/>
      <c r="DF17" s="1009"/>
      <c r="DG17" s="1009"/>
      <c r="DH17" s="1009"/>
      <c r="DI17" s="1009"/>
      <c r="DJ17" s="244"/>
      <c r="DK17" s="1633" t="str">
        <f t="shared" si="73"/>
        <v>[OBS! EXTRA RAD MANUELLT INLAGD]</v>
      </c>
      <c r="DL17" s="1616">
        <f t="shared" si="38"/>
        <v>14.3</v>
      </c>
      <c r="DM17" s="1616">
        <f t="shared" si="39"/>
        <v>14.5</v>
      </c>
      <c r="DN17" s="1616">
        <f t="shared" si="40"/>
        <v>11.900000000000002</v>
      </c>
      <c r="DO17" s="1616">
        <f t="shared" si="41"/>
        <v>15.299999999999997</v>
      </c>
      <c r="DP17" s="1616">
        <f t="shared" si="42"/>
        <v>14.2</v>
      </c>
      <c r="DQ17" s="1616">
        <f t="shared" si="43"/>
        <v>14.8</v>
      </c>
      <c r="DR17" s="1616">
        <f t="shared" si="44"/>
        <v>11.399999999999999</v>
      </c>
      <c r="DS17" s="1616">
        <f t="shared" si="45"/>
        <v>13.100000000000001</v>
      </c>
      <c r="DT17" s="1616">
        <f t="shared" si="46"/>
        <v>17.399999999999999</v>
      </c>
      <c r="DU17" s="1649">
        <f t="shared" si="47"/>
        <v>18.100000000000001</v>
      </c>
      <c r="DV17" s="1616">
        <f t="shared" si="48"/>
        <v>4.8999999999999986</v>
      </c>
      <c r="DW17" s="1616">
        <f t="shared" si="49"/>
        <v>13.100000000000001</v>
      </c>
      <c r="DX17" s="244"/>
      <c r="DY17" s="1184" t="s">
        <v>247</v>
      </c>
      <c r="DZ17" s="1185"/>
      <c r="EA17" s="1234"/>
      <c r="EB17" s="1234"/>
      <c r="EC17" s="1234"/>
      <c r="ED17" s="1234"/>
      <c r="EE17" s="1234"/>
      <c r="EF17" s="1234"/>
      <c r="EH17" s="242"/>
      <c r="EI17" s="242"/>
      <c r="EK17" s="1184" t="s">
        <v>247</v>
      </c>
      <c r="EL17" s="1185"/>
      <c r="EM17" s="1234">
        <f t="shared" si="74"/>
        <v>0</v>
      </c>
      <c r="EN17" s="1234">
        <f t="shared" si="75"/>
        <v>0</v>
      </c>
      <c r="EO17" s="1234">
        <f t="shared" si="76"/>
        <v>0</v>
      </c>
      <c r="EP17" s="1234">
        <f t="shared" si="77"/>
        <v>0</v>
      </c>
      <c r="EQ17" s="1234">
        <f t="shared" si="78"/>
        <v>0</v>
      </c>
      <c r="ER17" s="1234">
        <f t="shared" si="79"/>
        <v>0</v>
      </c>
      <c r="ET17" s="242"/>
      <c r="EU17" s="242"/>
      <c r="EV17" s="242"/>
      <c r="EW17" s="906"/>
      <c r="EX17" s="900">
        <f>EX$11</f>
        <v>2026</v>
      </c>
      <c r="EY17" s="900">
        <f t="shared" ref="EY17:FC17" si="111">EY$11</f>
        <v>2025</v>
      </c>
      <c r="EZ17" s="900">
        <f>EZ$11</f>
        <v>2026</v>
      </c>
      <c r="FA17" s="900">
        <f t="shared" si="111"/>
        <v>2025</v>
      </c>
      <c r="FB17" s="900">
        <f t="shared" si="111"/>
        <v>2026</v>
      </c>
      <c r="FC17" s="900">
        <f t="shared" si="111"/>
        <v>2025</v>
      </c>
      <c r="FD17" s="310"/>
      <c r="FE17" s="310"/>
      <c r="FF17" s="1577" t="s">
        <v>880</v>
      </c>
      <c r="FG17" s="908">
        <f t="shared" ref="FG17:FG28" si="112">EX18</f>
        <v>-46.927143999999998</v>
      </c>
      <c r="FH17" s="909">
        <f t="shared" ref="FH17:FH28" si="113">EY18</f>
        <v>-46.524999999999999</v>
      </c>
      <c r="FI17" s="908">
        <f t="shared" ref="FI17:FI28" si="114">EZ18</f>
        <v>-93.227786000000009</v>
      </c>
      <c r="FJ17" s="909">
        <f t="shared" ref="FJ17:FJ28" si="115">FA18</f>
        <v>-93.05</v>
      </c>
      <c r="FK17" s="2032">
        <f t="shared" ref="FK17:FK28" si="116">FB18</f>
        <v>-186.27778599999999</v>
      </c>
      <c r="FL17" s="908">
        <f t="shared" ref="FL17:FL28" si="117">FC18</f>
        <v>-186.1</v>
      </c>
      <c r="FM17" s="310"/>
      <c r="FN17" s="1577"/>
      <c r="FO17" s="242"/>
      <c r="FP17" s="2163"/>
      <c r="FQ17" s="2164"/>
      <c r="FR17" s="2163"/>
      <c r="FS17" s="2164"/>
      <c r="FT17" s="2163"/>
      <c r="FU17" s="2164"/>
      <c r="FV17" s="2235"/>
      <c r="FW17" s="2163"/>
      <c r="FX17" s="2164"/>
      <c r="FY17" s="2163"/>
      <c r="FZ17" s="2164"/>
      <c r="GA17" s="2159"/>
      <c r="GB17" s="2160"/>
      <c r="GC17" s="310"/>
      <c r="GD17" s="1577"/>
      <c r="GE17" s="242"/>
      <c r="GF17" s="2339"/>
      <c r="GG17" s="2340"/>
      <c r="GH17" s="2339"/>
      <c r="GI17" s="2340"/>
      <c r="GJ17" s="908"/>
      <c r="GK17" s="2032"/>
      <c r="GL17" s="242"/>
      <c r="GM17" s="2339"/>
      <c r="GN17" s="2340"/>
      <c r="GO17" s="2339"/>
      <c r="GP17" s="2340"/>
      <c r="GQ17" s="908"/>
      <c r="GR17" s="2032"/>
      <c r="GS17" s="242"/>
      <c r="GT17" s="242"/>
      <c r="GU17" s="412" t="s">
        <v>21</v>
      </c>
      <c r="GV17" s="242"/>
      <c r="GW17" s="1520">
        <f>[2]rapkvart!S155</f>
        <v>328.9</v>
      </c>
      <c r="GX17" s="1520">
        <f>[2]rapkvart!T155</f>
        <v>341.4</v>
      </c>
      <c r="GY17" s="1520">
        <f>[2]rapkvart!U155</f>
        <v>251.7</v>
      </c>
      <c r="GZ17" s="1520">
        <f>[2]rapkvart!V155</f>
        <v>273.2</v>
      </c>
      <c r="HA17" s="1520">
        <f>[2]rapkvart!O135</f>
        <v>254.6</v>
      </c>
      <c r="HB17" s="1520">
        <f>[2]rapkvart!P135</f>
        <v>203</v>
      </c>
      <c r="HC17" s="1520">
        <f>[2]rapkvart!Q135</f>
        <v>172.3</v>
      </c>
      <c r="HD17" s="1520">
        <f>[2]rapkvart!R135</f>
        <v>134</v>
      </c>
      <c r="HE17" s="1520">
        <f>[2]rapkvart!K135</f>
        <v>151.30000000000001</v>
      </c>
      <c r="HF17" s="1520">
        <f>[2]rapkvart!L135</f>
        <v>196.5</v>
      </c>
      <c r="HG17" s="1520">
        <f>[2]rapkvart!M135</f>
        <v>172.3</v>
      </c>
      <c r="HH17" s="1520">
        <f>[2]rapkvart!N135</f>
        <v>134</v>
      </c>
      <c r="HJ17" s="925">
        <f>HF17</f>
        <v>196.5</v>
      </c>
      <c r="HK17" s="924">
        <f>HB17</f>
        <v>203</v>
      </c>
      <c r="HL17" s="925">
        <f>HF17</f>
        <v>196.5</v>
      </c>
      <c r="HM17" s="924">
        <f>HB17</f>
        <v>203</v>
      </c>
      <c r="HN17" s="925">
        <f>HF17</f>
        <v>196.5</v>
      </c>
      <c r="HO17" s="1575">
        <f>HD17</f>
        <v>134</v>
      </c>
      <c r="HP17" s="1999"/>
      <c r="HQ17" s="310"/>
      <c r="HR17" s="310"/>
      <c r="HS17" s="310"/>
      <c r="HT17" s="310"/>
      <c r="HU17" s="310"/>
      <c r="HV17" s="310"/>
      <c r="HW17" s="310"/>
      <c r="HX17" s="310"/>
      <c r="HY17" s="310"/>
      <c r="HZ17" s="892"/>
      <c r="IA17" s="412" t="s">
        <v>254</v>
      </c>
      <c r="IB17" s="925">
        <f t="shared" ref="IB17:IG24" si="118">HJ17</f>
        <v>196.5</v>
      </c>
      <c r="IC17" s="924">
        <f t="shared" si="118"/>
        <v>203</v>
      </c>
      <c r="ID17" s="925">
        <f t="shared" si="118"/>
        <v>196.5</v>
      </c>
      <c r="IE17" s="924">
        <f t="shared" si="118"/>
        <v>203</v>
      </c>
      <c r="IF17" s="925">
        <f t="shared" si="118"/>
        <v>196.5</v>
      </c>
      <c r="IG17" s="1575">
        <f t="shared" si="118"/>
        <v>134</v>
      </c>
      <c r="IH17" s="1219"/>
      <c r="IJ17" s="1678">
        <f t="shared" si="5"/>
        <v>0</v>
      </c>
      <c r="IK17" s="264">
        <f t="shared" si="23"/>
        <v>8</v>
      </c>
      <c r="IL17" s="242"/>
      <c r="IM17" s="242"/>
      <c r="IN17" s="1184" t="s">
        <v>247</v>
      </c>
      <c r="IO17" s="1713"/>
      <c r="IP17" s="1713"/>
      <c r="IQ17" s="1713"/>
      <c r="IR17" s="242"/>
      <c r="IT17" s="1678">
        <f t="shared" si="7"/>
        <v>0</v>
      </c>
      <c r="IU17" s="264">
        <f t="shared" si="24"/>
        <v>8</v>
      </c>
      <c r="IX17" s="1725" t="s">
        <v>247</v>
      </c>
      <c r="IY17" s="1184"/>
      <c r="IZ17" s="1713"/>
      <c r="JA17" s="1713"/>
      <c r="JB17" s="1713"/>
      <c r="JF17" s="1184" t="s">
        <v>247</v>
      </c>
      <c r="JG17" s="1713"/>
      <c r="JH17" s="1713"/>
      <c r="JI17" s="1713"/>
      <c r="JJ17" s="242"/>
      <c r="JK17" s="242"/>
      <c r="JL17" s="242"/>
      <c r="JM17" s="1184" t="s">
        <v>247</v>
      </c>
      <c r="JN17" s="1713"/>
      <c r="JO17" s="1713"/>
      <c r="JP17" s="1713"/>
      <c r="JQ17" s="242"/>
    </row>
    <row r="18" spans="2:2045 2050:3071 3076:5117 5122:6143 6148:8189 8194:9215 9220:11261 11266:12287 12292:14333 14338:15359 15364:16379" s="269" customFormat="1" ht="11.25" customHeight="1" outlineLevel="1" thickBot="1" x14ac:dyDescent="0.25">
      <c r="B18" s="264">
        <f t="shared" si="27"/>
        <v>9</v>
      </c>
      <c r="D18" s="288" t="str">
        <f>+[2]rapkvart!$B13</f>
        <v>Övriga rörelsekostnader</v>
      </c>
      <c r="E18" s="289"/>
      <c r="G18" s="1071">
        <f>[2]rapkvart!S13</f>
        <v>-0.4</v>
      </c>
      <c r="H18" s="1071">
        <f>[2]rapkvart!T13</f>
        <v>-0.9</v>
      </c>
      <c r="I18" s="1071">
        <f>[2]rapkvart!U13</f>
        <v>-0.9</v>
      </c>
      <c r="J18" s="1071">
        <f>[2]rapkvart!V13</f>
        <v>-0.9</v>
      </c>
      <c r="K18" s="1071">
        <f>[2]rapkvart!O13</f>
        <v>-0.1</v>
      </c>
      <c r="L18" s="1071">
        <f>[2]rapkvart!P13</f>
        <v>-0.1</v>
      </c>
      <c r="M18" s="1071">
        <f>[2]rapkvart!Q13</f>
        <v>-0.1</v>
      </c>
      <c r="N18" s="1071">
        <f>[2]rapkvart!R13</f>
        <v>-0.1</v>
      </c>
      <c r="O18" s="1071">
        <f>[2]rapkvart!K13</f>
        <v>0</v>
      </c>
      <c r="P18" s="1071">
        <f>[2]rapkvart!L13</f>
        <v>0</v>
      </c>
      <c r="Q18" s="1071">
        <f>[2]rapkvart!M13</f>
        <v>-0.1</v>
      </c>
      <c r="R18" s="1071">
        <f>[2]rapkvart!N13</f>
        <v>-0.1</v>
      </c>
      <c r="S18" s="1072"/>
      <c r="T18" s="1073">
        <f>[2]rapkvart!AE13</f>
        <v>-0.4</v>
      </c>
      <c r="U18" s="1073">
        <f>[2]rapkvart!AF13</f>
        <v>-0.5</v>
      </c>
      <c r="V18" s="1073">
        <f>[2]rapkvart!AG13</f>
        <v>0</v>
      </c>
      <c r="W18" s="1073">
        <f>[2]rapkvart!AH13</f>
        <v>0</v>
      </c>
      <c r="X18" s="1073">
        <f>[2]rapkvart!AA13</f>
        <v>-0.1</v>
      </c>
      <c r="Y18" s="1073">
        <f>[2]rapkvart!AB13</f>
        <v>0</v>
      </c>
      <c r="Z18" s="1073">
        <f>[2]rapkvart!AC13</f>
        <v>0</v>
      </c>
      <c r="AA18" s="1073">
        <f>[2]rapkvart!AD13</f>
        <v>0</v>
      </c>
      <c r="AB18" s="1073">
        <f>[2]rapkvart!W13</f>
        <v>0</v>
      </c>
      <c r="AC18" s="1073">
        <f>[2]rapkvart!X13</f>
        <v>0</v>
      </c>
      <c r="AD18" s="1073">
        <f>[2]rapkvart!Y13</f>
        <v>-0.1</v>
      </c>
      <c r="AE18" s="1073">
        <f>[2]rapkvart!Z13</f>
        <v>0</v>
      </c>
      <c r="AV18" s="1890" t="str">
        <f t="shared" si="28"/>
        <v>Övriga rörelsekostnader</v>
      </c>
      <c r="AW18" s="1891"/>
      <c r="AX18" s="1892">
        <f t="shared" si="29"/>
        <v>0</v>
      </c>
      <c r="AY18" s="1893">
        <f t="shared" si="30"/>
        <v>0</v>
      </c>
      <c r="AZ18" s="1892">
        <f t="shared" si="31"/>
        <v>0</v>
      </c>
      <c r="BA18" s="1893">
        <f t="shared" si="32"/>
        <v>-0.1</v>
      </c>
      <c r="BB18" s="1892">
        <f t="shared" si="33"/>
        <v>0</v>
      </c>
      <c r="BC18" s="1893">
        <f t="shared" si="34"/>
        <v>-0.1</v>
      </c>
      <c r="BE18" s="288" t="s">
        <v>250</v>
      </c>
      <c r="BF18" s="289"/>
      <c r="BG18" s="1199">
        <f t="shared" si="11"/>
        <v>0</v>
      </c>
      <c r="BH18" s="1200">
        <f t="shared" si="12"/>
        <v>0</v>
      </c>
      <c r="BI18" s="1199">
        <f t="shared" si="13"/>
        <v>0</v>
      </c>
      <c r="BJ18" s="1200">
        <f t="shared" si="14"/>
        <v>-0.1</v>
      </c>
      <c r="BK18" s="1199">
        <f t="shared" si="15"/>
        <v>0</v>
      </c>
      <c r="BL18" s="1200">
        <f t="shared" si="16"/>
        <v>-0.1</v>
      </c>
      <c r="BN18" s="242"/>
      <c r="BP18" s="279" t="str">
        <f t="shared" ref="BP18:BP38" si="119">CI18</f>
        <v>Övriga rörelsekostnader</v>
      </c>
      <c r="BQ18" s="968"/>
      <c r="BR18" s="969"/>
      <c r="BS18" s="969"/>
      <c r="BT18" s="969"/>
      <c r="BU18" s="969"/>
      <c r="BV18" s="969"/>
      <c r="BW18" s="969"/>
      <c r="BX18" s="969"/>
      <c r="BY18" s="969"/>
      <c r="BZ18" s="969"/>
      <c r="CA18" s="969"/>
      <c r="CB18" s="279"/>
      <c r="CE18" s="1288">
        <f t="shared" si="35"/>
        <v>0</v>
      </c>
      <c r="CF18" s="281">
        <f t="shared" si="36"/>
        <v>9</v>
      </c>
      <c r="CH18" s="1608"/>
      <c r="CI18" s="1019" t="s">
        <v>251</v>
      </c>
      <c r="CJ18" s="1020"/>
      <c r="CK18" s="1277">
        <f t="shared" ref="CK18:CV18" si="120">T18+BQ18</f>
        <v>-0.4</v>
      </c>
      <c r="CL18" s="1277">
        <f t="shared" si="120"/>
        <v>-0.5</v>
      </c>
      <c r="CM18" s="1277">
        <f t="shared" si="120"/>
        <v>0</v>
      </c>
      <c r="CN18" s="1277">
        <f t="shared" si="120"/>
        <v>0</v>
      </c>
      <c r="CO18" s="1277">
        <f t="shared" si="120"/>
        <v>-0.1</v>
      </c>
      <c r="CP18" s="1277">
        <f t="shared" si="120"/>
        <v>0</v>
      </c>
      <c r="CQ18" s="1277">
        <f t="shared" si="120"/>
        <v>0</v>
      </c>
      <c r="CR18" s="1277">
        <f t="shared" si="120"/>
        <v>0</v>
      </c>
      <c r="CS18" s="1277">
        <f t="shared" si="120"/>
        <v>0</v>
      </c>
      <c r="CT18" s="1277">
        <f t="shared" si="120"/>
        <v>0</v>
      </c>
      <c r="CU18" s="1277">
        <f t="shared" si="120"/>
        <v>-0.1</v>
      </c>
      <c r="CV18" s="1277">
        <f t="shared" si="120"/>
        <v>0</v>
      </c>
      <c r="CW18" s="369"/>
      <c r="CX18" s="369"/>
      <c r="CY18" s="369"/>
      <c r="CZ18" s="369"/>
      <c r="DA18" s="369"/>
      <c r="DB18" s="369"/>
      <c r="DC18" s="369"/>
      <c r="DD18" s="369"/>
      <c r="DE18" s="369"/>
      <c r="DF18" s="369"/>
      <c r="DG18" s="369"/>
      <c r="DH18" s="369"/>
      <c r="DI18" s="369"/>
      <c r="DJ18" s="244"/>
      <c r="DK18" s="1635" t="str">
        <f t="shared" si="73"/>
        <v>Övriga rörelsekostnader</v>
      </c>
      <c r="DL18" s="1618">
        <f t="shared" si="38"/>
        <v>0</v>
      </c>
      <c r="DM18" s="1618">
        <f t="shared" si="39"/>
        <v>0</v>
      </c>
      <c r="DN18" s="1618">
        <f t="shared" si="40"/>
        <v>0</v>
      </c>
      <c r="DO18" s="1618">
        <f t="shared" si="41"/>
        <v>0</v>
      </c>
      <c r="DP18" s="1618">
        <f t="shared" si="42"/>
        <v>0</v>
      </c>
      <c r="DQ18" s="1618">
        <f t="shared" si="43"/>
        <v>0</v>
      </c>
      <c r="DR18" s="1618">
        <f t="shared" si="44"/>
        <v>0</v>
      </c>
      <c r="DS18" s="1618">
        <f t="shared" si="45"/>
        <v>0</v>
      </c>
      <c r="DT18" s="1618">
        <f t="shared" si="46"/>
        <v>0</v>
      </c>
      <c r="DU18" s="1651">
        <f t="shared" si="47"/>
        <v>0</v>
      </c>
      <c r="DV18" s="1618">
        <f t="shared" si="48"/>
        <v>0</v>
      </c>
      <c r="DW18" s="1618">
        <f t="shared" si="49"/>
        <v>0</v>
      </c>
      <c r="DX18" s="244"/>
      <c r="DY18" s="1767" t="str">
        <f t="shared" ref="DY18:DY38" si="121">CI18</f>
        <v>Övriga rörelsekostnader</v>
      </c>
      <c r="DZ18" s="1848"/>
      <c r="EA18" s="1768">
        <f t="shared" ref="EA18:EA35" si="122">SUM(CT18)</f>
        <v>0</v>
      </c>
      <c r="EB18" s="1849">
        <f t="shared" ref="EB18:EB35" si="123">SUM(CP18)</f>
        <v>0</v>
      </c>
      <c r="EC18" s="1768">
        <f t="shared" ref="EC18:EC35" si="124">SUM(CS18:CT18)</f>
        <v>0</v>
      </c>
      <c r="ED18" s="1849">
        <f t="shared" ref="ED18:ED35" si="125">SUM(CO18:CP18)</f>
        <v>-0.1</v>
      </c>
      <c r="EE18" s="1768">
        <f t="shared" ref="EE18:EE35" si="126">SUM(CQ18:CT18)</f>
        <v>0</v>
      </c>
      <c r="EF18" s="1849">
        <f t="shared" ref="EF18:EF35" si="127">SUM(CO18:CR18)</f>
        <v>-0.1</v>
      </c>
      <c r="EH18" s="242"/>
      <c r="EI18" s="242"/>
      <c r="EK18" s="1767" t="s">
        <v>250</v>
      </c>
      <c r="EL18" s="1848"/>
      <c r="EM18" s="1768">
        <f t="shared" si="74"/>
        <v>0</v>
      </c>
      <c r="EN18" s="1849">
        <f t="shared" si="75"/>
        <v>0</v>
      </c>
      <c r="EO18" s="1768">
        <f t="shared" si="76"/>
        <v>0</v>
      </c>
      <c r="EP18" s="1849">
        <f t="shared" si="77"/>
        <v>-0.1</v>
      </c>
      <c r="EQ18" s="1768">
        <f t="shared" si="78"/>
        <v>0</v>
      </c>
      <c r="ER18" s="1849">
        <f t="shared" si="79"/>
        <v>-0.1</v>
      </c>
      <c r="ET18" s="242"/>
      <c r="EU18" s="242"/>
      <c r="EV18" s="242"/>
      <c r="EW18" s="2155" t="s">
        <v>879</v>
      </c>
      <c r="EX18" s="908">
        <f>BZ20</f>
        <v>-46.927143999999998</v>
      </c>
      <c r="EY18" s="909">
        <f>CP20</f>
        <v>-46.524999999999999</v>
      </c>
      <c r="EZ18" s="908">
        <f>SUM(CS20:CT20)</f>
        <v>-93.227786000000009</v>
      </c>
      <c r="FA18" s="909">
        <f>SUM(CO20:CP20)</f>
        <v>-93.05</v>
      </c>
      <c r="FB18" s="2032">
        <f>SUM(CQ20:CT20)</f>
        <v>-186.27778599999999</v>
      </c>
      <c r="FC18" s="908">
        <f>SUM(BU20:BX20)</f>
        <v>-186.1</v>
      </c>
      <c r="FD18" s="310"/>
      <c r="FE18" s="310"/>
      <c r="FF18" s="907" t="s">
        <v>249</v>
      </c>
      <c r="FG18" s="908">
        <f t="shared" si="112"/>
        <v>67.17285600000011</v>
      </c>
      <c r="FH18" s="909">
        <f t="shared" si="113"/>
        <v>16.674999999999798</v>
      </c>
      <c r="FI18" s="908">
        <f t="shared" si="114"/>
        <v>93.272214000000076</v>
      </c>
      <c r="FJ18" s="909">
        <f t="shared" si="115"/>
        <v>49.549999999999862</v>
      </c>
      <c r="FK18" s="2032">
        <f t="shared" si="116"/>
        <v>94.922214000000281</v>
      </c>
      <c r="FL18" s="908">
        <f t="shared" si="117"/>
        <v>51.200000000000053</v>
      </c>
      <c r="FM18" s="310"/>
      <c r="FN18" s="2155" t="str">
        <f>EW20</f>
        <v>Periodens resultat (efter skatt), Mkr</v>
      </c>
      <c r="FO18" s="242"/>
      <c r="FP18" s="2163">
        <f t="shared" ref="FP18:FU19" si="128">_xlfn.XLOOKUP($FN18,$EW$18:$EW$29,EX$18:EX$29,,,)</f>
        <v>49.273047664000089</v>
      </c>
      <c r="FQ18" s="2164">
        <f t="shared" si="128"/>
        <v>1.1017499999998392</v>
      </c>
      <c r="FR18" s="2163">
        <f t="shared" si="128"/>
        <v>64.620137916000061</v>
      </c>
      <c r="FS18" s="2164">
        <f t="shared" si="128"/>
        <v>25.562099999999887</v>
      </c>
      <c r="FT18" s="2163">
        <f t="shared" si="128"/>
        <v>41.832237916000224</v>
      </c>
      <c r="FU18" s="2164">
        <f t="shared" si="128"/>
        <v>2.7742000000000395</v>
      </c>
      <c r="FV18" s="2235"/>
      <c r="FW18" s="2163">
        <f t="shared" ref="FW18:GB19" si="129">_xlfn.XLOOKUP($FN18,$EW$33:$EW$44,EX$33:EX$44,,,)</f>
        <v>70.000000000000071</v>
      </c>
      <c r="FX18" s="2164">
        <f t="shared" si="129"/>
        <v>18.099999999999856</v>
      </c>
      <c r="FY18" s="2163">
        <f t="shared" si="129"/>
        <v>104.00000000000006</v>
      </c>
      <c r="FZ18" s="2164">
        <f t="shared" si="129"/>
        <v>61.499999999999957</v>
      </c>
      <c r="GA18" s="2159">
        <f t="shared" si="129"/>
        <v>120.60000000000025</v>
      </c>
      <c r="GB18" s="2160">
        <f t="shared" si="129"/>
        <v>78.100000000000136</v>
      </c>
      <c r="GC18" s="310"/>
      <c r="GD18" s="1577" t="s">
        <v>916</v>
      </c>
      <c r="GE18" s="242"/>
      <c r="GF18" s="2339">
        <f t="shared" ref="GF18:GK19" si="130">FP18</f>
        <v>49.273047664000089</v>
      </c>
      <c r="GG18" s="2340">
        <f t="shared" si="130"/>
        <v>1.1017499999998392</v>
      </c>
      <c r="GH18" s="2339">
        <f t="shared" si="130"/>
        <v>64.620137916000061</v>
      </c>
      <c r="GI18" s="2340">
        <f t="shared" si="130"/>
        <v>25.562099999999887</v>
      </c>
      <c r="GJ18" s="908">
        <f t="shared" si="130"/>
        <v>41.832237916000224</v>
      </c>
      <c r="GK18" s="2032">
        <f t="shared" si="130"/>
        <v>2.7742000000000395</v>
      </c>
      <c r="GL18" s="242"/>
      <c r="GM18" s="2339">
        <f t="shared" ref="GM18:GR19" si="131">FW18</f>
        <v>70.000000000000071</v>
      </c>
      <c r="GN18" s="2340">
        <f t="shared" si="131"/>
        <v>18.099999999999856</v>
      </c>
      <c r="GO18" s="2339">
        <f t="shared" si="131"/>
        <v>104.00000000000006</v>
      </c>
      <c r="GP18" s="2340">
        <f t="shared" si="131"/>
        <v>61.499999999999957</v>
      </c>
      <c r="GQ18" s="908">
        <f t="shared" si="131"/>
        <v>120.60000000000025</v>
      </c>
      <c r="GR18" s="2032">
        <f t="shared" si="131"/>
        <v>78.100000000000136</v>
      </c>
      <c r="GS18" s="242"/>
      <c r="GT18" s="242"/>
      <c r="GU18" s="412" t="s">
        <v>259</v>
      </c>
      <c r="GV18" s="242"/>
      <c r="GW18" s="1514">
        <f t="shared" ref="GW18:HH18" si="132">GW$97</f>
        <v>15.299999999999983</v>
      </c>
      <c r="GX18" s="1514">
        <f t="shared" si="132"/>
        <v>-2.7999999999999829</v>
      </c>
      <c r="GY18" s="1514">
        <f t="shared" si="132"/>
        <v>81.200000000000017</v>
      </c>
      <c r="GZ18" s="1514">
        <f t="shared" si="132"/>
        <v>56.599999999999994</v>
      </c>
      <c r="HA18" s="1514">
        <f t="shared" si="132"/>
        <v>66.599999999999994</v>
      </c>
      <c r="HB18" s="1514">
        <f t="shared" si="132"/>
        <v>116</v>
      </c>
      <c r="HC18" s="1514">
        <f t="shared" si="132"/>
        <v>141.89999999999998</v>
      </c>
      <c r="HD18" s="1514">
        <f t="shared" si="132"/>
        <v>173.8</v>
      </c>
      <c r="HE18" s="1514">
        <f t="shared" si="132"/>
        <v>152.69999999999999</v>
      </c>
      <c r="HF18" s="1514">
        <f t="shared" si="132"/>
        <v>104.1</v>
      </c>
      <c r="HG18" s="1514">
        <f t="shared" si="132"/>
        <v>0</v>
      </c>
      <c r="HH18" s="1514">
        <f t="shared" si="132"/>
        <v>0</v>
      </c>
      <c r="HJ18" s="2062">
        <f>HF18</f>
        <v>104.1</v>
      </c>
      <c r="HK18" s="2064">
        <f>HB18</f>
        <v>116</v>
      </c>
      <c r="HL18" s="2062">
        <f>HF18</f>
        <v>104.1</v>
      </c>
      <c r="HM18" s="2064">
        <f>HB18</f>
        <v>116</v>
      </c>
      <c r="HN18" s="2062">
        <f>HF18</f>
        <v>104.1</v>
      </c>
      <c r="HO18" s="2063">
        <f>HD18</f>
        <v>173.8</v>
      </c>
      <c r="HP18" s="1999"/>
      <c r="HQ18" s="310"/>
      <c r="HR18" s="310"/>
      <c r="HS18" s="310"/>
      <c r="HT18" s="310"/>
      <c r="HU18" s="310"/>
      <c r="HV18" s="310"/>
      <c r="HW18" s="310"/>
      <c r="HX18" s="310"/>
      <c r="HY18" s="310"/>
      <c r="HZ18" s="892"/>
      <c r="IA18" s="412" t="s">
        <v>260</v>
      </c>
      <c r="IB18" s="925">
        <f t="shared" si="118"/>
        <v>104.1</v>
      </c>
      <c r="IC18" s="924">
        <f t="shared" si="118"/>
        <v>116</v>
      </c>
      <c r="ID18" s="925">
        <f t="shared" si="118"/>
        <v>104.1</v>
      </c>
      <c r="IE18" s="924">
        <f t="shared" si="118"/>
        <v>116</v>
      </c>
      <c r="IF18" s="925">
        <f t="shared" si="118"/>
        <v>104.1</v>
      </c>
      <c r="IG18" s="1575">
        <f t="shared" si="118"/>
        <v>173.8</v>
      </c>
      <c r="IH18" s="1219"/>
      <c r="IJ18" s="1678">
        <f t="shared" si="5"/>
        <v>0</v>
      </c>
      <c r="IK18" s="264">
        <f t="shared" si="23"/>
        <v>9</v>
      </c>
      <c r="IL18" s="242"/>
      <c r="IM18" s="242"/>
      <c r="IN18" s="1673" t="str">
        <f t="shared" ref="IN18:IN38" si="133">IX18</f>
        <v>Övriga rörelsekostnader</v>
      </c>
      <c r="IO18" s="1697"/>
      <c r="IP18" s="1697"/>
      <c r="IQ18" s="1697"/>
      <c r="IR18" s="242"/>
      <c r="IS18" s="242"/>
      <c r="IT18" s="1678">
        <f t="shared" si="7"/>
        <v>0</v>
      </c>
      <c r="IU18" s="264">
        <f t="shared" si="24"/>
        <v>9</v>
      </c>
      <c r="IV18" s="242"/>
      <c r="IW18" s="242"/>
      <c r="IX18" s="1724" t="s">
        <v>251</v>
      </c>
      <c r="IY18" s="1673"/>
      <c r="IZ18" s="1674">
        <f>AX18</f>
        <v>0</v>
      </c>
      <c r="JA18" s="1697">
        <f t="shared" si="86"/>
        <v>0</v>
      </c>
      <c r="JB18" s="1674">
        <f t="shared" ref="JB18:JB35" si="134">SUM(EA18)</f>
        <v>0</v>
      </c>
      <c r="JC18" s="242"/>
      <c r="JD18" s="242"/>
      <c r="JE18" s="242"/>
      <c r="JF18" s="1767" t="str">
        <f t="shared" ref="JF18:JF38" si="135">IX18</f>
        <v>Övriga rörelsekostnader</v>
      </c>
      <c r="JG18" s="1768">
        <f t="shared" ref="JG18:JG23" si="136">IZ18</f>
        <v>0</v>
      </c>
      <c r="JH18" s="1769"/>
      <c r="JI18" s="1768">
        <f t="shared" ref="JI18:JI23" si="137">JB18</f>
        <v>0</v>
      </c>
      <c r="JJ18" s="242"/>
      <c r="JK18" s="242"/>
      <c r="JL18" s="242"/>
      <c r="JM18" s="1778" t="s">
        <v>250</v>
      </c>
      <c r="JN18" s="1779">
        <f t="shared" si="87"/>
        <v>0</v>
      </c>
      <c r="JO18" s="1780"/>
      <c r="JP18" s="1779">
        <f t="shared" si="88"/>
        <v>0</v>
      </c>
      <c r="JQ18" s="242"/>
    </row>
    <row r="19" spans="2:2045 2050:3071 3076:5117 5122:6143 6148:8189 8194:9215 9220:11261 11266:12287 12292:14333 14338:15359 15364:16379" s="269" customFormat="1" outlineLevel="1" x14ac:dyDescent="0.2">
      <c r="B19" s="264">
        <f t="shared" si="27"/>
        <v>10</v>
      </c>
      <c r="D19" s="300" t="str">
        <f>+[2]rapkvart!$B14</f>
        <v>Rörelseresultat</v>
      </c>
      <c r="E19" s="301"/>
      <c r="G19" s="1076">
        <f>[2]rapkvart!S14</f>
        <v>43.600000000000044</v>
      </c>
      <c r="H19" s="1076">
        <f>[2]rapkvart!T14</f>
        <v>98.500000000000099</v>
      </c>
      <c r="I19" s="1076">
        <f>[2]rapkvart!U14</f>
        <v>132.1999999999999</v>
      </c>
      <c r="J19" s="1076">
        <f>[2]rapkvart!V14</f>
        <v>160.80000000000015</v>
      </c>
      <c r="K19" s="1076">
        <f>[2]rapkvart!O14</f>
        <v>57.500000000000064</v>
      </c>
      <c r="L19" s="1076">
        <f>[2]rapkvart!P14</f>
        <v>97.89999999999992</v>
      </c>
      <c r="M19" s="1076">
        <f>[2]rapkvart!Q14</f>
        <v>127</v>
      </c>
      <c r="N19" s="1076">
        <f>[2]rapkvart!R14</f>
        <v>148.60000000000011</v>
      </c>
      <c r="O19" s="1076">
        <f>[2]rapkvart!K14</f>
        <v>50.399999999999984</v>
      </c>
      <c r="P19" s="1076">
        <f>[2]rapkvart!L14</f>
        <v>142.80000000000004</v>
      </c>
      <c r="Q19" s="1076">
        <f>[2]rapkvart!M14</f>
        <v>127</v>
      </c>
      <c r="R19" s="1076">
        <f>[2]rapkvart!N14</f>
        <v>148.60000000000011</v>
      </c>
      <c r="S19" s="1072"/>
      <c r="T19" s="1073">
        <f>[2]rapkvart!AE14</f>
        <v>43.600000000000044</v>
      </c>
      <c r="U19" s="1073">
        <f>[2]rapkvart!AF14</f>
        <v>54.900000000000048</v>
      </c>
      <c r="V19" s="1073">
        <f>[2]rapkvart!AG14</f>
        <v>33.699999999999818</v>
      </c>
      <c r="W19" s="1073">
        <f>[2]rapkvart!AH14</f>
        <v>28.600000000000229</v>
      </c>
      <c r="X19" s="1073">
        <f>[2]rapkvart!AA14</f>
        <v>57.500000000000099</v>
      </c>
      <c r="Y19" s="1073">
        <f>[2]rapkvart!AB14</f>
        <v>40.399999999999849</v>
      </c>
      <c r="Z19" s="1073">
        <f>[2]rapkvart!AC14</f>
        <v>29.100000000000094</v>
      </c>
      <c r="AA19" s="1073">
        <f>[2]rapkvart!AD14</f>
        <v>21.600000000000094</v>
      </c>
      <c r="AB19" s="1073">
        <f>[2]rapkvart!W14</f>
        <v>50.399999999999984</v>
      </c>
      <c r="AC19" s="1073">
        <f>[2]rapkvart!X14</f>
        <v>92.400000000000063</v>
      </c>
      <c r="AD19" s="1073">
        <f>[2]rapkvart!Y14</f>
        <v>-15.800000000000045</v>
      </c>
      <c r="AE19" s="1073">
        <f>[2]rapkvart!Z14</f>
        <v>21.600000000000094</v>
      </c>
      <c r="AV19" s="1187" t="str">
        <f t="shared" si="28"/>
        <v>Rörelseresultat</v>
      </c>
      <c r="AW19" s="1186"/>
      <c r="AX19" s="1235">
        <f t="shared" si="29"/>
        <v>92.400000000000063</v>
      </c>
      <c r="AY19" s="1236">
        <f t="shared" si="30"/>
        <v>40.399999999999849</v>
      </c>
      <c r="AZ19" s="1235">
        <f t="shared" si="31"/>
        <v>142.80000000000004</v>
      </c>
      <c r="BA19" s="1236">
        <f t="shared" si="32"/>
        <v>97.89999999999992</v>
      </c>
      <c r="BB19" s="1235">
        <f t="shared" si="33"/>
        <v>193.50000000000023</v>
      </c>
      <c r="BC19" s="1236">
        <f t="shared" si="34"/>
        <v>148.60000000000011</v>
      </c>
      <c r="BE19" s="1187" t="s">
        <v>255</v>
      </c>
      <c r="BF19" s="1186"/>
      <c r="BG19" s="1235">
        <f t="shared" si="11"/>
        <v>92.400000000000063</v>
      </c>
      <c r="BH19" s="1236">
        <f t="shared" si="12"/>
        <v>40.399999999999849</v>
      </c>
      <c r="BI19" s="1235">
        <f t="shared" si="13"/>
        <v>142.80000000000004</v>
      </c>
      <c r="BJ19" s="1236">
        <f t="shared" si="14"/>
        <v>97.89999999999992</v>
      </c>
      <c r="BK19" s="1235">
        <f t="shared" si="15"/>
        <v>193.50000000000023</v>
      </c>
      <c r="BL19" s="1236">
        <f t="shared" si="16"/>
        <v>148.60000000000011</v>
      </c>
      <c r="BN19" s="242"/>
      <c r="BP19" s="302" t="str">
        <f t="shared" si="119"/>
        <v>Rörelseresultat före avskrivningar</v>
      </c>
      <c r="BQ19" s="966"/>
      <c r="BR19" s="967"/>
      <c r="BS19" s="967"/>
      <c r="BT19" s="967"/>
      <c r="BU19" s="967"/>
      <c r="BV19" s="967"/>
      <c r="BW19" s="967"/>
      <c r="BX19" s="967"/>
      <c r="BY19" s="967"/>
      <c r="BZ19" s="967"/>
      <c r="CA19" s="967"/>
      <c r="CB19" s="302"/>
      <c r="CE19" s="1288">
        <f t="shared" si="35"/>
        <v>1</v>
      </c>
      <c r="CF19" s="281">
        <f t="shared" si="36"/>
        <v>10</v>
      </c>
      <c r="CH19" s="1608"/>
      <c r="CI19" s="302" t="s">
        <v>256</v>
      </c>
      <c r="CJ19" s="303"/>
      <c r="CK19" s="966">
        <f>SUM(CK14:CK18)</f>
        <v>66.500000000000014</v>
      </c>
      <c r="CL19" s="966">
        <f t="shared" ref="CL19:CV19" si="138">SUM(CL14:CL18)</f>
        <v>78.400000000000048</v>
      </c>
      <c r="CM19" s="966">
        <f t="shared" si="138"/>
        <v>56.699999999999818</v>
      </c>
      <c r="CN19" s="966">
        <f t="shared" si="138"/>
        <v>50.600000000000229</v>
      </c>
      <c r="CO19" s="966">
        <f t="shared" si="138"/>
        <v>79.400000000000063</v>
      </c>
      <c r="CP19" s="966">
        <f t="shared" si="138"/>
        <v>63.199999999999797</v>
      </c>
      <c r="CQ19" s="966">
        <f t="shared" si="138"/>
        <v>51.300000000000082</v>
      </c>
      <c r="CR19" s="966">
        <f t="shared" si="138"/>
        <v>43.400000000000105</v>
      </c>
      <c r="CS19" s="966">
        <f t="shared" si="138"/>
        <v>72.399999999999977</v>
      </c>
      <c r="CT19" s="966">
        <f t="shared" si="138"/>
        <v>114.10000000000011</v>
      </c>
      <c r="CU19" s="966">
        <f t="shared" si="138"/>
        <v>-15.800000000000045</v>
      </c>
      <c r="CV19" s="966">
        <f t="shared" si="138"/>
        <v>21.600000000000094</v>
      </c>
      <c r="CW19" s="1008"/>
      <c r="CX19" s="1008"/>
      <c r="CY19" s="1008"/>
      <c r="CZ19" s="1008"/>
      <c r="DA19" s="1008"/>
      <c r="DB19" s="1008"/>
      <c r="DC19" s="1008"/>
      <c r="DD19" s="1008"/>
      <c r="DE19" s="1008"/>
      <c r="DF19" s="1008"/>
      <c r="DG19" s="1008"/>
      <c r="DH19" s="1008"/>
      <c r="DI19" s="1008"/>
      <c r="DJ19" s="244"/>
      <c r="DK19" s="1636" t="str">
        <f t="shared" si="73"/>
        <v>Rörelseresultat före avskrivningar</v>
      </c>
      <c r="DL19" s="1619">
        <f t="shared" si="38"/>
        <v>22.89999999999997</v>
      </c>
      <c r="DM19" s="1619">
        <f t="shared" si="39"/>
        <v>23.5</v>
      </c>
      <c r="DN19" s="1619">
        <f t="shared" si="40"/>
        <v>23</v>
      </c>
      <c r="DO19" s="1619">
        <f t="shared" si="41"/>
        <v>22</v>
      </c>
      <c r="DP19" s="1619">
        <f t="shared" si="42"/>
        <v>21.899999999999963</v>
      </c>
      <c r="DQ19" s="1619">
        <f t="shared" si="43"/>
        <v>22.799999999999947</v>
      </c>
      <c r="DR19" s="1619">
        <f t="shared" si="44"/>
        <v>22.199999999999989</v>
      </c>
      <c r="DS19" s="1619">
        <f t="shared" si="45"/>
        <v>21.800000000000011</v>
      </c>
      <c r="DT19" s="1619">
        <f t="shared" si="46"/>
        <v>21.999999999999993</v>
      </c>
      <c r="DU19" s="1652">
        <f t="shared" si="47"/>
        <v>21.700000000000045</v>
      </c>
      <c r="DV19" s="1619">
        <f t="shared" si="48"/>
        <v>0</v>
      </c>
      <c r="DW19" s="1619">
        <f t="shared" si="49"/>
        <v>0</v>
      </c>
      <c r="DX19" s="244"/>
      <c r="DY19" s="1787" t="str">
        <f t="shared" si="121"/>
        <v>Rörelseresultat före avskrivningar</v>
      </c>
      <c r="DZ19" s="1976"/>
      <c r="EA19" s="1977">
        <f t="shared" si="122"/>
        <v>114.10000000000011</v>
      </c>
      <c r="EB19" s="1978">
        <f t="shared" si="123"/>
        <v>63.199999999999797</v>
      </c>
      <c r="EC19" s="1977">
        <f t="shared" si="124"/>
        <v>186.50000000000009</v>
      </c>
      <c r="ED19" s="1978">
        <f t="shared" si="125"/>
        <v>142.59999999999985</v>
      </c>
      <c r="EE19" s="1977">
        <f t="shared" si="126"/>
        <v>281.20000000000027</v>
      </c>
      <c r="EF19" s="1978">
        <f t="shared" si="127"/>
        <v>237.3</v>
      </c>
      <c r="EH19" s="242"/>
      <c r="EI19" s="242"/>
      <c r="EK19" s="1187" t="s">
        <v>229</v>
      </c>
      <c r="EL19" s="1189"/>
      <c r="EM19" s="1235">
        <f t="shared" si="74"/>
        <v>114.10000000000011</v>
      </c>
      <c r="EN19" s="1236">
        <f t="shared" si="75"/>
        <v>63.199999999999797</v>
      </c>
      <c r="EO19" s="1235">
        <f t="shared" si="76"/>
        <v>186.50000000000009</v>
      </c>
      <c r="EP19" s="1236">
        <f t="shared" si="77"/>
        <v>142.59999999999985</v>
      </c>
      <c r="EQ19" s="1235">
        <f t="shared" si="78"/>
        <v>281.20000000000027</v>
      </c>
      <c r="ER19" s="1236">
        <f t="shared" si="79"/>
        <v>237.3</v>
      </c>
      <c r="ET19" s="242"/>
      <c r="EU19" s="242"/>
      <c r="EV19" s="242"/>
      <c r="EW19" s="907" t="s">
        <v>248</v>
      </c>
      <c r="EX19" s="908">
        <f t="shared" ref="EX19:FC21" si="139">HJ30</f>
        <v>67.17285600000011</v>
      </c>
      <c r="EY19" s="909">
        <f t="shared" si="139"/>
        <v>16.674999999999798</v>
      </c>
      <c r="EZ19" s="908">
        <f t="shared" si="139"/>
        <v>93.272214000000076</v>
      </c>
      <c r="FA19" s="909">
        <f t="shared" si="139"/>
        <v>49.549999999999862</v>
      </c>
      <c r="FB19" s="2032">
        <f t="shared" si="139"/>
        <v>94.922214000000281</v>
      </c>
      <c r="FC19" s="908">
        <f t="shared" si="139"/>
        <v>51.200000000000053</v>
      </c>
      <c r="FD19" s="310"/>
      <c r="FE19" s="310"/>
      <c r="FF19" s="901" t="s">
        <v>253</v>
      </c>
      <c r="FG19" s="908">
        <f t="shared" si="112"/>
        <v>49.273047664000089</v>
      </c>
      <c r="FH19" s="909">
        <f t="shared" si="113"/>
        <v>1.1017499999998392</v>
      </c>
      <c r="FI19" s="908">
        <f t="shared" si="114"/>
        <v>64.620137916000061</v>
      </c>
      <c r="FJ19" s="909">
        <f t="shared" si="115"/>
        <v>25.562099999999887</v>
      </c>
      <c r="FK19" s="2032">
        <f t="shared" si="116"/>
        <v>41.832237916000224</v>
      </c>
      <c r="FL19" s="908">
        <f t="shared" si="117"/>
        <v>2.7742000000000395</v>
      </c>
      <c r="FM19" s="310"/>
      <c r="FN19" s="2155" t="str">
        <f>EW21</f>
        <v>Periodens resultat av kvarvarande verksamhet (efter skatt), Mkr</v>
      </c>
      <c r="FO19" s="242"/>
      <c r="FP19" s="2163">
        <f t="shared" si="128"/>
        <v>49.921047664000092</v>
      </c>
      <c r="FQ19" s="2164">
        <f t="shared" si="128"/>
        <v>8.6347499999998387</v>
      </c>
      <c r="FR19" s="2163">
        <f t="shared" si="128"/>
        <v>68.103137916000065</v>
      </c>
      <c r="FS19" s="2164">
        <f t="shared" si="128"/>
        <v>35.849099999999886</v>
      </c>
      <c r="FT19" s="2163">
        <f t="shared" si="128"/>
        <v>67.428237916000228</v>
      </c>
      <c r="FU19" s="2164">
        <f t="shared" si="128"/>
        <v>35.174200000000035</v>
      </c>
      <c r="FV19" s="2235"/>
      <c r="FW19" s="2163">
        <f t="shared" si="129"/>
        <v>70.600000000000065</v>
      </c>
      <c r="FX19" s="2164">
        <f t="shared" si="129"/>
        <v>25.599999999999852</v>
      </c>
      <c r="FY19" s="2163">
        <f t="shared" si="129"/>
        <v>107.40000000000005</v>
      </c>
      <c r="FZ19" s="2164">
        <f t="shared" si="129"/>
        <v>71.69999999999996</v>
      </c>
      <c r="GA19" s="2159">
        <f t="shared" si="129"/>
        <v>145.90000000000023</v>
      </c>
      <c r="GB19" s="2160">
        <f t="shared" si="129"/>
        <v>110.20000000000016</v>
      </c>
      <c r="GC19" s="310"/>
      <c r="GD19" s="1577" t="s">
        <v>912</v>
      </c>
      <c r="GE19" s="242"/>
      <c r="GF19" s="2339">
        <f t="shared" si="130"/>
        <v>49.921047664000092</v>
      </c>
      <c r="GG19" s="2340">
        <f t="shared" si="130"/>
        <v>8.6347499999998387</v>
      </c>
      <c r="GH19" s="2339">
        <f t="shared" si="130"/>
        <v>68.103137916000065</v>
      </c>
      <c r="GI19" s="2340">
        <f t="shared" si="130"/>
        <v>35.849099999999886</v>
      </c>
      <c r="GJ19" s="908">
        <f t="shared" si="130"/>
        <v>67.428237916000228</v>
      </c>
      <c r="GK19" s="2032">
        <f t="shared" si="130"/>
        <v>35.174200000000035</v>
      </c>
      <c r="GL19" s="242"/>
      <c r="GM19" s="2339">
        <f t="shared" si="131"/>
        <v>70.600000000000065</v>
      </c>
      <c r="GN19" s="2340">
        <f t="shared" si="131"/>
        <v>25.599999999999852</v>
      </c>
      <c r="GO19" s="2339">
        <f t="shared" si="131"/>
        <v>107.40000000000005</v>
      </c>
      <c r="GP19" s="2340">
        <f t="shared" si="131"/>
        <v>71.69999999999996</v>
      </c>
      <c r="GQ19" s="908">
        <f t="shared" si="131"/>
        <v>145.90000000000023</v>
      </c>
      <c r="GR19" s="2032">
        <f t="shared" si="131"/>
        <v>110.20000000000016</v>
      </c>
      <c r="GS19" s="242"/>
      <c r="GT19" s="242"/>
      <c r="GU19" s="412" t="s">
        <v>265</v>
      </c>
      <c r="GV19" s="242"/>
      <c r="GW19" s="2027">
        <f t="shared" ref="GW19:HH19" si="140">GW109</f>
        <v>0</v>
      </c>
      <c r="GX19" s="2027">
        <f t="shared" si="140"/>
        <v>0</v>
      </c>
      <c r="GY19" s="2027">
        <f t="shared" si="140"/>
        <v>0</v>
      </c>
      <c r="GZ19" s="2027">
        <f t="shared" si="140"/>
        <v>0</v>
      </c>
      <c r="HA19" s="2027">
        <f t="shared" si="140"/>
        <v>0.25122595247076562</v>
      </c>
      <c r="HB19" s="2027">
        <f t="shared" si="140"/>
        <v>0.46418567426970797</v>
      </c>
      <c r="HC19" s="2027">
        <f t="shared" si="140"/>
        <v>0.58036809815950852</v>
      </c>
      <c r="HD19" s="2029">
        <f t="shared" si="140"/>
        <v>0.73240623683101524</v>
      </c>
      <c r="HE19" s="2029">
        <f t="shared" si="140"/>
        <v>0.66304819800260517</v>
      </c>
      <c r="HF19" s="2029">
        <f t="shared" si="140"/>
        <v>0.37019914651493563</v>
      </c>
      <c r="HG19" s="2027">
        <f t="shared" si="140"/>
        <v>0</v>
      </c>
      <c r="HH19" s="2027">
        <f t="shared" si="140"/>
        <v>0</v>
      </c>
      <c r="HI19" s="2153"/>
      <c r="HJ19" s="2062">
        <f t="shared" ref="HJ19:HO19" si="141">HJ109</f>
        <v>0.37019914651493563</v>
      </c>
      <c r="HK19" s="2064">
        <f t="shared" si="141"/>
        <v>0.46418567426970797</v>
      </c>
      <c r="HL19" s="2062">
        <f t="shared" si="141"/>
        <v>0.37019914651493563</v>
      </c>
      <c r="HM19" s="2064">
        <f t="shared" si="141"/>
        <v>0.46418567426970797</v>
      </c>
      <c r="HN19" s="2062">
        <f t="shared" si="141"/>
        <v>0.37019914651493563</v>
      </c>
      <c r="HO19" s="2063">
        <f t="shared" si="141"/>
        <v>0.73240623683101524</v>
      </c>
      <c r="HP19" s="1999"/>
      <c r="HQ19" s="310"/>
      <c r="HR19" s="310"/>
      <c r="HS19" s="310"/>
      <c r="HT19" s="310"/>
      <c r="HU19" s="310"/>
      <c r="HV19" s="310"/>
      <c r="HW19" s="310"/>
      <c r="HX19" s="310"/>
      <c r="HY19" s="310"/>
      <c r="HZ19" s="892"/>
      <c r="IA19" s="412" t="s">
        <v>882</v>
      </c>
      <c r="IB19" s="925">
        <f t="shared" si="118"/>
        <v>0.37019914651493563</v>
      </c>
      <c r="IC19" s="924">
        <f t="shared" si="118"/>
        <v>0.46418567426970797</v>
      </c>
      <c r="ID19" s="925">
        <f t="shared" si="118"/>
        <v>0.37019914651493563</v>
      </c>
      <c r="IE19" s="924">
        <f t="shared" si="118"/>
        <v>0.46418567426970797</v>
      </c>
      <c r="IF19" s="925">
        <f t="shared" si="118"/>
        <v>0.37019914651493563</v>
      </c>
      <c r="IG19" s="1575">
        <f t="shared" si="118"/>
        <v>0.73240623683101524</v>
      </c>
      <c r="IH19" s="1219"/>
      <c r="IJ19" s="1678">
        <f t="shared" si="5"/>
        <v>1</v>
      </c>
      <c r="IK19" s="264">
        <f t="shared" si="23"/>
        <v>10</v>
      </c>
      <c r="IL19" s="242"/>
      <c r="IM19" s="242"/>
      <c r="IN19" s="1187" t="str">
        <f t="shared" si="133"/>
        <v>EBITDA</v>
      </c>
      <c r="IO19" s="1696"/>
      <c r="IP19" s="1696"/>
      <c r="IQ19" s="1696"/>
      <c r="IR19" s="242"/>
      <c r="IS19" s="242"/>
      <c r="IT19" s="1678">
        <f t="shared" si="7"/>
        <v>1</v>
      </c>
      <c r="IU19" s="264">
        <f t="shared" si="24"/>
        <v>10</v>
      </c>
      <c r="IV19" s="242"/>
      <c r="IW19" s="242"/>
      <c r="IX19" s="1187" t="s">
        <v>229</v>
      </c>
      <c r="IY19" s="1187"/>
      <c r="IZ19" s="1235">
        <f>SUM(IZ14:IZ18)</f>
        <v>114.10000000000011</v>
      </c>
      <c r="JA19" s="1696">
        <f t="shared" si="86"/>
        <v>0</v>
      </c>
      <c r="JB19" s="1235">
        <f t="shared" si="134"/>
        <v>114.10000000000011</v>
      </c>
      <c r="JC19" s="242"/>
      <c r="JD19" s="242"/>
      <c r="JE19" s="242"/>
      <c r="JF19" s="1187" t="str">
        <f t="shared" si="135"/>
        <v>EBITDA</v>
      </c>
      <c r="JG19" s="1235">
        <f t="shared" si="136"/>
        <v>114.10000000000011</v>
      </c>
      <c r="JH19" s="1696"/>
      <c r="JI19" s="1235">
        <f t="shared" si="137"/>
        <v>114.10000000000011</v>
      </c>
      <c r="JJ19" s="242"/>
      <c r="JK19" s="242"/>
      <c r="JL19" s="242"/>
      <c r="JM19" s="1187" t="s">
        <v>229</v>
      </c>
      <c r="JN19" s="1235">
        <f t="shared" si="87"/>
        <v>114.10000000000011</v>
      </c>
      <c r="JO19" s="1696"/>
      <c r="JP19" s="1235">
        <f t="shared" si="88"/>
        <v>114.10000000000011</v>
      </c>
      <c r="JQ19" s="242"/>
    </row>
    <row r="20" spans="2:2045 2050:3071 3076:5117 5122:6143 6148:8189 8194:9215 9220:11261 11266:12287 12292:14333 14338:15359 15364:16379" s="269" customFormat="1" outlineLevel="3" x14ac:dyDescent="0.2">
      <c r="B20" s="264">
        <f t="shared" si="27"/>
        <v>11</v>
      </c>
      <c r="D20" s="317" t="s">
        <v>247</v>
      </c>
      <c r="E20" s="316"/>
      <c r="G20" s="970" t="s">
        <v>247</v>
      </c>
      <c r="H20" s="970"/>
      <c r="I20" s="970"/>
      <c r="J20" s="970"/>
      <c r="K20" s="970"/>
      <c r="L20" s="970"/>
      <c r="M20" s="970"/>
      <c r="N20" s="970"/>
      <c r="O20" s="970"/>
      <c r="P20" s="970"/>
      <c r="Q20" s="970"/>
      <c r="R20" s="970"/>
      <c r="S20" s="1072"/>
      <c r="T20" s="970" t="s">
        <v>247</v>
      </c>
      <c r="U20" s="1077"/>
      <c r="V20" s="1077"/>
      <c r="W20" s="1077"/>
      <c r="X20" s="1077"/>
      <c r="Y20" s="1077"/>
      <c r="Z20" s="1077"/>
      <c r="AA20" s="1077"/>
      <c r="AB20" s="1077"/>
      <c r="AC20" s="1077"/>
      <c r="AD20" s="1077"/>
      <c r="AE20" s="1077"/>
      <c r="AV20" s="1681" t="str">
        <f t="shared" si="28"/>
        <v>[OBS! EXTRA RAD MANUELLT INLAGD]</v>
      </c>
      <c r="AW20" s="1680"/>
      <c r="AX20" s="1679"/>
      <c r="AY20" s="1679"/>
      <c r="AZ20" s="1679"/>
      <c r="BA20" s="1679"/>
      <c r="BB20" s="1679"/>
      <c r="BC20" s="1679"/>
      <c r="BE20" s="316" t="str">
        <f t="shared" ref="BE20:BE25" si="142">D20</f>
        <v>[OBS! EXTRA RAD MANUELLT INLAGD]</v>
      </c>
      <c r="BF20" s="316"/>
      <c r="BG20" s="1574"/>
      <c r="BH20" s="1574"/>
      <c r="BI20" s="1574"/>
      <c r="BJ20" s="1574"/>
      <c r="BK20" s="1574"/>
      <c r="BL20" s="1574"/>
      <c r="BN20" s="242"/>
      <c r="BP20" s="320" t="str">
        <f t="shared" si="119"/>
        <v>Kalkylmässiga avskrivningar</v>
      </c>
      <c r="BQ20" s="971">
        <f>SUM(BQ21:BQ24)</f>
        <v>-46.197499999999998</v>
      </c>
      <c r="BR20" s="971">
        <f t="shared" ref="BR20:BX20" si="143">SUM(BR21:BR24)</f>
        <v>-46.197499999999998</v>
      </c>
      <c r="BS20" s="971">
        <f t="shared" si="143"/>
        <v>-46.197499999999998</v>
      </c>
      <c r="BT20" s="971">
        <f t="shared" si="143"/>
        <v>-46.197499999999998</v>
      </c>
      <c r="BU20" s="971">
        <f t="shared" si="143"/>
        <v>-46.524999999999999</v>
      </c>
      <c r="BV20" s="971">
        <f t="shared" si="143"/>
        <v>-46.524999999999999</v>
      </c>
      <c r="BW20" s="971">
        <f t="shared" si="143"/>
        <v>-46.524999999999999</v>
      </c>
      <c r="BX20" s="971">
        <f t="shared" si="143"/>
        <v>-46.524999999999999</v>
      </c>
      <c r="BY20" s="971">
        <f>SUM(BY21:BY24)</f>
        <v>-46.300642000000003</v>
      </c>
      <c r="BZ20" s="971">
        <f>SUM(BZ21:BZ24)</f>
        <v>-46.927143999999998</v>
      </c>
      <c r="CA20" s="972"/>
      <c r="CB20" s="320"/>
      <c r="CE20" s="1288">
        <f t="shared" si="35"/>
        <v>1</v>
      </c>
      <c r="CF20" s="281">
        <f t="shared" si="36"/>
        <v>11</v>
      </c>
      <c r="CH20" s="1608"/>
      <c r="CI20" s="320" t="s">
        <v>261</v>
      </c>
      <c r="CJ20" s="321"/>
      <c r="CK20" s="971">
        <f>SUM(CK21:CK24)</f>
        <v>-46.197499999999998</v>
      </c>
      <c r="CL20" s="971">
        <f t="shared" ref="CL20:CV20" si="144">SUM(CL21:CL24)</f>
        <v>-46.197499999999998</v>
      </c>
      <c r="CM20" s="971">
        <f t="shared" si="144"/>
        <v>-46.197499999999998</v>
      </c>
      <c r="CN20" s="971">
        <f t="shared" si="144"/>
        <v>-46.197499999999998</v>
      </c>
      <c r="CO20" s="971">
        <f t="shared" si="144"/>
        <v>-46.524999999999999</v>
      </c>
      <c r="CP20" s="971">
        <f t="shared" si="144"/>
        <v>-46.524999999999999</v>
      </c>
      <c r="CQ20" s="971">
        <f t="shared" si="144"/>
        <v>-46.524999999999999</v>
      </c>
      <c r="CR20" s="971">
        <f t="shared" si="144"/>
        <v>-46.524999999999999</v>
      </c>
      <c r="CS20" s="971">
        <f t="shared" si="144"/>
        <v>-46.300642000000003</v>
      </c>
      <c r="CT20" s="971">
        <f t="shared" si="144"/>
        <v>-46.927143999999998</v>
      </c>
      <c r="CU20" s="971">
        <f t="shared" si="144"/>
        <v>0</v>
      </c>
      <c r="CV20" s="971">
        <f t="shared" si="144"/>
        <v>0</v>
      </c>
      <c r="CW20" s="369"/>
      <c r="CX20" s="2044">
        <f>CO20/CK20-1</f>
        <v>7.0891281995779654E-3</v>
      </c>
      <c r="CY20" s="2044">
        <f t="shared" ref="CY20:DE20" si="145">CP20/CL20-1</f>
        <v>7.0891281995779654E-3</v>
      </c>
      <c r="CZ20" s="2044">
        <f t="shared" si="145"/>
        <v>7.0891281995779654E-3</v>
      </c>
      <c r="DA20" s="2044">
        <f t="shared" si="145"/>
        <v>7.0891281995779654E-3</v>
      </c>
      <c r="DB20" s="2044">
        <f t="shared" si="145"/>
        <v>-4.8223105857064796E-3</v>
      </c>
      <c r="DC20" s="2057">
        <f t="shared" si="145"/>
        <v>8.6436109618484025E-3</v>
      </c>
      <c r="DD20" s="2044">
        <f t="shared" si="145"/>
        <v>-1</v>
      </c>
      <c r="DE20" s="2044">
        <f t="shared" si="145"/>
        <v>-1</v>
      </c>
      <c r="DF20" s="369"/>
      <c r="DG20" s="369"/>
      <c r="DH20" s="369"/>
      <c r="DI20" s="369"/>
      <c r="DJ20" s="244"/>
      <c r="DK20" s="1634" t="str">
        <f t="shared" si="73"/>
        <v>Kalkylmässiga avskrivningar</v>
      </c>
      <c r="DL20" s="1617" t="e">
        <f t="shared" si="38"/>
        <v>#VALUE!</v>
      </c>
      <c r="DM20" s="1617">
        <f t="shared" si="39"/>
        <v>-46.197499999999998</v>
      </c>
      <c r="DN20" s="1617">
        <f t="shared" si="40"/>
        <v>-46.197499999999998</v>
      </c>
      <c r="DO20" s="1617">
        <f t="shared" si="41"/>
        <v>-46.197499999999998</v>
      </c>
      <c r="DP20" s="1617">
        <f t="shared" si="42"/>
        <v>-46.524999999999999</v>
      </c>
      <c r="DQ20" s="1617">
        <f t="shared" si="43"/>
        <v>-46.524999999999999</v>
      </c>
      <c r="DR20" s="1617">
        <f t="shared" si="44"/>
        <v>-46.524999999999999</v>
      </c>
      <c r="DS20" s="1617">
        <f t="shared" si="45"/>
        <v>-46.524999999999999</v>
      </c>
      <c r="DT20" s="1617">
        <f t="shared" si="46"/>
        <v>-46.300642000000003</v>
      </c>
      <c r="DU20" s="1650">
        <f t="shared" si="47"/>
        <v>-46.927143999999998</v>
      </c>
      <c r="DV20" s="1617">
        <f t="shared" si="48"/>
        <v>0</v>
      </c>
      <c r="DW20" s="1617">
        <f t="shared" si="49"/>
        <v>0</v>
      </c>
      <c r="DX20" s="244"/>
      <c r="DY20" s="1177" t="str">
        <f t="shared" si="121"/>
        <v>Kalkylmässiga avskrivningar</v>
      </c>
      <c r="DZ20" s="1186"/>
      <c r="EA20" s="1226">
        <f t="shared" si="122"/>
        <v>-46.927143999999998</v>
      </c>
      <c r="EB20" s="1227">
        <f t="shared" si="123"/>
        <v>-46.524999999999999</v>
      </c>
      <c r="EC20" s="1226">
        <f t="shared" si="124"/>
        <v>-93.227786000000009</v>
      </c>
      <c r="ED20" s="1227">
        <f t="shared" si="125"/>
        <v>-93.05</v>
      </c>
      <c r="EE20" s="1226">
        <f t="shared" si="126"/>
        <v>-186.27778599999999</v>
      </c>
      <c r="EF20" s="1227">
        <f t="shared" si="127"/>
        <v>-186.1</v>
      </c>
      <c r="EH20" s="1093">
        <f>EA20/EB20-1</f>
        <v>8.6436109618484025E-3</v>
      </c>
      <c r="EI20" s="1093">
        <f>EE20/EF20-1</f>
        <v>9.5532509403550847E-4</v>
      </c>
      <c r="EK20" s="1177" t="s">
        <v>262</v>
      </c>
      <c r="EL20" s="1186"/>
      <c r="EM20" s="1226">
        <f t="shared" si="74"/>
        <v>-46.927143999999998</v>
      </c>
      <c r="EN20" s="1227">
        <f t="shared" si="75"/>
        <v>-46.524999999999999</v>
      </c>
      <c r="EO20" s="1226">
        <f t="shared" si="76"/>
        <v>-93.227786000000009</v>
      </c>
      <c r="EP20" s="1227">
        <f t="shared" si="77"/>
        <v>-93.05</v>
      </c>
      <c r="EQ20" s="1226">
        <f t="shared" si="78"/>
        <v>-186.27778599999999</v>
      </c>
      <c r="ER20" s="1227">
        <f t="shared" si="79"/>
        <v>-186.1</v>
      </c>
      <c r="ET20" s="242"/>
      <c r="EU20" s="242"/>
      <c r="EV20" s="242"/>
      <c r="EW20" s="907" t="s">
        <v>252</v>
      </c>
      <c r="EX20" s="908">
        <f t="shared" si="139"/>
        <v>49.273047664000089</v>
      </c>
      <c r="EY20" s="909">
        <f t="shared" si="139"/>
        <v>1.1017499999998392</v>
      </c>
      <c r="EZ20" s="908">
        <f t="shared" si="139"/>
        <v>64.620137916000061</v>
      </c>
      <c r="FA20" s="909">
        <f t="shared" si="139"/>
        <v>25.562099999999887</v>
      </c>
      <c r="FB20" s="2032">
        <f t="shared" si="139"/>
        <v>41.832237916000224</v>
      </c>
      <c r="FC20" s="908">
        <f t="shared" si="139"/>
        <v>2.7742000000000395</v>
      </c>
      <c r="FD20" s="310"/>
      <c r="FE20" s="310"/>
      <c r="FF20" s="901" t="s">
        <v>258</v>
      </c>
      <c r="FG20" s="908">
        <f t="shared" si="112"/>
        <v>49.921047664000092</v>
      </c>
      <c r="FH20" s="909">
        <f t="shared" si="113"/>
        <v>8.6347499999998387</v>
      </c>
      <c r="FI20" s="908">
        <f t="shared" si="114"/>
        <v>68.103137916000065</v>
      </c>
      <c r="FJ20" s="909">
        <f t="shared" si="115"/>
        <v>35.849099999999886</v>
      </c>
      <c r="FK20" s="2032">
        <f t="shared" si="116"/>
        <v>67.428237916000228</v>
      </c>
      <c r="FL20" s="908">
        <f t="shared" si="117"/>
        <v>35.174200000000035</v>
      </c>
      <c r="FM20" s="310"/>
      <c r="FN20" s="1577"/>
      <c r="FO20" s="242"/>
      <c r="FP20" s="2163"/>
      <c r="FQ20" s="2164"/>
      <c r="FR20" s="2163"/>
      <c r="FS20" s="2164"/>
      <c r="FT20" s="2163"/>
      <c r="FU20" s="2164"/>
      <c r="FV20" s="2235"/>
      <c r="FW20" s="2163"/>
      <c r="FX20" s="2164"/>
      <c r="FY20" s="2163"/>
      <c r="FZ20" s="2164"/>
      <c r="GA20" s="2159"/>
      <c r="GB20" s="2160"/>
      <c r="GC20" s="310"/>
      <c r="GD20" s="1577"/>
      <c r="GE20" s="242"/>
      <c r="GF20" s="2339"/>
      <c r="GG20" s="2340"/>
      <c r="GH20" s="2339"/>
      <c r="GI20" s="2340"/>
      <c r="GJ20" s="908"/>
      <c r="GK20" s="2032"/>
      <c r="GL20" s="242"/>
      <c r="GM20" s="2339"/>
      <c r="GN20" s="2340"/>
      <c r="GO20" s="2339"/>
      <c r="GP20" s="2340"/>
      <c r="GQ20" s="908"/>
      <c r="GR20" s="2032"/>
      <c r="GS20" s="242"/>
      <c r="GT20" s="242"/>
      <c r="GU20" s="412" t="s">
        <v>273</v>
      </c>
      <c r="GV20" s="242"/>
      <c r="GW20" s="1514">
        <f t="shared" ref="GW20:HH20" si="146">SUM(GW111)</f>
        <v>151.6</v>
      </c>
      <c r="GX20" s="1514">
        <f t="shared" si="146"/>
        <v>138.20000000000002</v>
      </c>
      <c r="GY20" s="1514">
        <f t="shared" si="146"/>
        <v>130.30000000000001</v>
      </c>
      <c r="GZ20" s="1514">
        <f t="shared" si="146"/>
        <v>125.3</v>
      </c>
      <c r="HA20" s="1514">
        <f t="shared" si="146"/>
        <v>116.5</v>
      </c>
      <c r="HB20" s="1514">
        <f t="shared" si="146"/>
        <v>154.5</v>
      </c>
      <c r="HC20" s="1514">
        <f t="shared" si="146"/>
        <v>198.39999999999998</v>
      </c>
      <c r="HD20" s="1514">
        <f t="shared" si="146"/>
        <v>223.8</v>
      </c>
      <c r="HE20" s="1514">
        <f t="shared" si="146"/>
        <v>189.7</v>
      </c>
      <c r="HF20" s="1514">
        <f t="shared" si="146"/>
        <v>118.8</v>
      </c>
      <c r="HG20" s="1514">
        <f t="shared" si="146"/>
        <v>0</v>
      </c>
      <c r="HH20" s="1514">
        <f t="shared" si="146"/>
        <v>0</v>
      </c>
      <c r="HJ20" s="2062">
        <f>HF20</f>
        <v>118.8</v>
      </c>
      <c r="HK20" s="2064">
        <f>HB20</f>
        <v>154.5</v>
      </c>
      <c r="HL20" s="2062">
        <f>HF20</f>
        <v>118.8</v>
      </c>
      <c r="HM20" s="2064">
        <f>HB20</f>
        <v>154.5</v>
      </c>
      <c r="HN20" s="2062">
        <f>HF20</f>
        <v>118.8</v>
      </c>
      <c r="HO20" s="2063">
        <f>HD20</f>
        <v>223.8</v>
      </c>
      <c r="HP20" s="1999"/>
      <c r="HQ20" s="310"/>
      <c r="HR20" s="310"/>
      <c r="HS20" s="310"/>
      <c r="HT20" s="310"/>
      <c r="HU20" s="310"/>
      <c r="HV20" s="310"/>
      <c r="HW20" s="310"/>
      <c r="HX20" s="310"/>
      <c r="HY20" s="310"/>
      <c r="HZ20" s="892"/>
      <c r="IA20" s="412" t="s">
        <v>274</v>
      </c>
      <c r="IB20" s="925">
        <f t="shared" si="118"/>
        <v>118.8</v>
      </c>
      <c r="IC20" s="924">
        <f t="shared" si="118"/>
        <v>154.5</v>
      </c>
      <c r="ID20" s="925">
        <f t="shared" si="118"/>
        <v>118.8</v>
      </c>
      <c r="IE20" s="924">
        <f t="shared" si="118"/>
        <v>154.5</v>
      </c>
      <c r="IF20" s="925">
        <f t="shared" si="118"/>
        <v>118.8</v>
      </c>
      <c r="IG20" s="1575">
        <f t="shared" si="118"/>
        <v>223.8</v>
      </c>
      <c r="IH20" s="1219"/>
      <c r="IJ20" s="1678">
        <f t="shared" si="5"/>
        <v>1</v>
      </c>
      <c r="IK20" s="264">
        <f t="shared" si="23"/>
        <v>11</v>
      </c>
      <c r="IL20" s="242"/>
      <c r="IM20" s="242"/>
      <c r="IN20" s="1177" t="str">
        <f t="shared" si="133"/>
        <v>Avskrivningar</v>
      </c>
      <c r="IO20" s="1709">
        <f>SUM(IO21:IO24)</f>
        <v>-21.699999999999996</v>
      </c>
      <c r="IP20" s="1694"/>
      <c r="IQ20" s="1694"/>
      <c r="IR20" s="242"/>
      <c r="IS20" s="242"/>
      <c r="IT20" s="1678">
        <f t="shared" si="7"/>
        <v>1</v>
      </c>
      <c r="IU20" s="264">
        <f t="shared" si="24"/>
        <v>11</v>
      </c>
      <c r="IV20" s="242"/>
      <c r="IW20" s="242"/>
      <c r="IX20" s="1177" t="s">
        <v>267</v>
      </c>
      <c r="IY20" s="1177"/>
      <c r="IZ20" s="1226">
        <f>SUM(IZ21:IZ24)</f>
        <v>-21.699999999999996</v>
      </c>
      <c r="JA20" s="1694">
        <f t="shared" si="86"/>
        <v>-25.227144000000003</v>
      </c>
      <c r="JB20" s="1226">
        <f t="shared" si="134"/>
        <v>-46.927143999999998</v>
      </c>
      <c r="JC20" s="242"/>
      <c r="JD20" s="242"/>
      <c r="JE20" s="242"/>
      <c r="JF20" s="1177" t="str">
        <f t="shared" si="135"/>
        <v>Avskrivningar</v>
      </c>
      <c r="JG20" s="1226">
        <f t="shared" si="136"/>
        <v>-21.699999999999996</v>
      </c>
      <c r="JH20" s="1694">
        <f t="shared" ref="JH20:JH25" si="147">JA20</f>
        <v>-25.227144000000003</v>
      </c>
      <c r="JI20" s="1226">
        <f t="shared" si="137"/>
        <v>-46.927143999999998</v>
      </c>
      <c r="JJ20" s="242"/>
      <c r="JK20" s="242"/>
      <c r="JL20" s="242"/>
      <c r="JM20" s="1177" t="s">
        <v>268</v>
      </c>
      <c r="JN20" s="1226">
        <f t="shared" si="87"/>
        <v>-21.699999999999996</v>
      </c>
      <c r="JO20" s="1694">
        <f t="shared" ref="JO20:JO45" si="148">$JH20</f>
        <v>-25.227144000000003</v>
      </c>
      <c r="JP20" s="1226">
        <f t="shared" si="88"/>
        <v>-46.927143999999998</v>
      </c>
      <c r="JQ20" s="242"/>
    </row>
    <row r="21" spans="2:2045 2050:3071 3076:5117 5122:6143 6148:8189 8194:9215 9220:11261 11266:12287 12292:14333 14338:15359 15364:16379" s="269" customFormat="1" ht="11.25" customHeight="1" outlineLevel="3" x14ac:dyDescent="0.2">
      <c r="B21" s="264">
        <f t="shared" si="27"/>
        <v>12</v>
      </c>
      <c r="D21" s="317" t="s">
        <v>247</v>
      </c>
      <c r="E21" s="316"/>
      <c r="G21" s="970" t="s">
        <v>247</v>
      </c>
      <c r="H21" s="970"/>
      <c r="I21" s="970"/>
      <c r="J21" s="970"/>
      <c r="K21" s="970"/>
      <c r="L21" s="970"/>
      <c r="M21" s="970"/>
      <c r="N21" s="970"/>
      <c r="O21" s="970"/>
      <c r="P21" s="970"/>
      <c r="Q21" s="970"/>
      <c r="R21" s="970"/>
      <c r="S21" s="1072"/>
      <c r="T21" s="970" t="s">
        <v>247</v>
      </c>
      <c r="U21" s="1077"/>
      <c r="V21" s="1077"/>
      <c r="W21" s="1077"/>
      <c r="X21" s="1077"/>
      <c r="Y21" s="1077"/>
      <c r="Z21" s="1077"/>
      <c r="AA21" s="1077"/>
      <c r="AB21" s="1077"/>
      <c r="AC21" s="1077"/>
      <c r="AD21" s="1077"/>
      <c r="AE21" s="1077"/>
      <c r="AV21" s="1681" t="str">
        <f t="shared" si="28"/>
        <v>[OBS! EXTRA RAD MANUELLT INLAGD]</v>
      </c>
      <c r="AW21" s="1680"/>
      <c r="AX21" s="1679"/>
      <c r="AY21" s="1679"/>
      <c r="AZ21" s="1679"/>
      <c r="BA21" s="1679"/>
      <c r="BB21" s="1679"/>
      <c r="BC21" s="1679"/>
      <c r="BE21" s="316" t="str">
        <f t="shared" si="142"/>
        <v>[OBS! EXTRA RAD MANUELLT INLAGD]</v>
      </c>
      <c r="BF21" s="316"/>
      <c r="BG21" s="1574"/>
      <c r="BH21" s="1574"/>
      <c r="BI21" s="1574"/>
      <c r="BJ21" s="1574"/>
      <c r="BK21" s="1574"/>
      <c r="BL21" s="1574"/>
      <c r="BN21" s="242"/>
      <c r="BP21" s="322" t="str">
        <f t="shared" si="119"/>
        <v>varav avskrivningar immateriella anläggningstillgångar</v>
      </c>
      <c r="BQ21" s="1304">
        <f>Avskrivningar!AP12</f>
        <v>-0.97250000000000003</v>
      </c>
      <c r="BR21" s="1304">
        <f>Avskrivningar!AQ12</f>
        <v>-0.97250000000000003</v>
      </c>
      <c r="BS21" s="1304">
        <f>Avskrivningar!AR12</f>
        <v>-0.97250000000000003</v>
      </c>
      <c r="BT21" s="1304">
        <f>Avskrivningar!AS12</f>
        <v>-0.97250000000000003</v>
      </c>
      <c r="BU21" s="1304">
        <f>Avskrivningar!AT12</f>
        <v>-0.97499999999999998</v>
      </c>
      <c r="BV21" s="1304">
        <f>Avskrivningar!AU12</f>
        <v>-0.97499999999999998</v>
      </c>
      <c r="BW21" s="1304">
        <f>Avskrivningar!AV12</f>
        <v>-0.97499999999999998</v>
      </c>
      <c r="BX21" s="1304">
        <f>Avskrivningar!AW12</f>
        <v>-0.97499999999999998</v>
      </c>
      <c r="BY21" s="1304">
        <f>Avskrivningar!AX12</f>
        <v>-1</v>
      </c>
      <c r="BZ21" s="1304">
        <f>Avskrivningar!AY12</f>
        <v>-1</v>
      </c>
      <c r="CA21" s="973"/>
      <c r="CB21" s="323"/>
      <c r="CE21" s="1288">
        <f t="shared" si="35"/>
        <v>1</v>
      </c>
      <c r="CF21" s="281">
        <f t="shared" si="36"/>
        <v>12</v>
      </c>
      <c r="CH21" s="1608"/>
      <c r="CI21" s="323" t="s">
        <v>269</v>
      </c>
      <c r="CJ21" s="1023"/>
      <c r="CK21" s="1031">
        <f>BQ21</f>
        <v>-0.97250000000000003</v>
      </c>
      <c r="CL21" s="1031">
        <f t="shared" ref="CL21:CV24" si="149">BR21</f>
        <v>-0.97250000000000003</v>
      </c>
      <c r="CM21" s="1031">
        <f t="shared" si="149"/>
        <v>-0.97250000000000003</v>
      </c>
      <c r="CN21" s="1031">
        <f t="shared" si="149"/>
        <v>-0.97250000000000003</v>
      </c>
      <c r="CO21" s="1031">
        <f t="shared" si="149"/>
        <v>-0.97499999999999998</v>
      </c>
      <c r="CP21" s="1031">
        <f t="shared" si="149"/>
        <v>-0.97499999999999998</v>
      </c>
      <c r="CQ21" s="1031">
        <f t="shared" si="149"/>
        <v>-0.97499999999999998</v>
      </c>
      <c r="CR21" s="1031">
        <f t="shared" si="149"/>
        <v>-0.97499999999999998</v>
      </c>
      <c r="CS21" s="1031">
        <f t="shared" si="149"/>
        <v>-1</v>
      </c>
      <c r="CT21" s="1031">
        <f t="shared" si="149"/>
        <v>-1</v>
      </c>
      <c r="CU21" s="1031">
        <f t="shared" si="149"/>
        <v>0</v>
      </c>
      <c r="CV21" s="1031">
        <f t="shared" si="149"/>
        <v>0</v>
      </c>
      <c r="CW21" s="1010"/>
      <c r="CX21" s="2043">
        <f>CO21/CK21-1</f>
        <v>2.5706940874035134E-3</v>
      </c>
      <c r="CY21" s="2043">
        <f t="shared" ref="CY21:DE24" si="150">CP21/CL21-1</f>
        <v>2.5706940874035134E-3</v>
      </c>
      <c r="CZ21" s="2043">
        <f t="shared" si="150"/>
        <v>2.5706940874035134E-3</v>
      </c>
      <c r="DA21" s="2043">
        <f t="shared" si="150"/>
        <v>2.5706940874035134E-3</v>
      </c>
      <c r="DB21" s="2043">
        <f t="shared" si="150"/>
        <v>2.5641025641025772E-2</v>
      </c>
      <c r="DC21" s="2058">
        <f t="shared" si="150"/>
        <v>2.5641025641025772E-2</v>
      </c>
      <c r="DD21" s="2043">
        <f t="shared" si="150"/>
        <v>-1</v>
      </c>
      <c r="DE21" s="2043">
        <f t="shared" si="150"/>
        <v>-1</v>
      </c>
      <c r="DF21" s="1010"/>
      <c r="DG21" s="1010"/>
      <c r="DH21" s="1010"/>
      <c r="DI21" s="1010"/>
      <c r="DJ21" s="244"/>
      <c r="DK21" s="1632" t="str">
        <f t="shared" si="73"/>
        <v>varav avskrivningar immateriella anläggningstillgångar</v>
      </c>
      <c r="DL21" s="1615" t="e">
        <f t="shared" si="38"/>
        <v>#VALUE!</v>
      </c>
      <c r="DM21" s="1615">
        <f t="shared" si="39"/>
        <v>-0.97250000000000003</v>
      </c>
      <c r="DN21" s="1615">
        <f t="shared" si="40"/>
        <v>-0.97250000000000003</v>
      </c>
      <c r="DO21" s="1615">
        <f t="shared" si="41"/>
        <v>-0.97250000000000003</v>
      </c>
      <c r="DP21" s="1615">
        <f t="shared" si="42"/>
        <v>-0.97499999999999998</v>
      </c>
      <c r="DQ21" s="1615">
        <f t="shared" si="43"/>
        <v>-0.97499999999999998</v>
      </c>
      <c r="DR21" s="1615">
        <f t="shared" si="44"/>
        <v>-0.97499999999999998</v>
      </c>
      <c r="DS21" s="1615">
        <f t="shared" si="45"/>
        <v>-0.97499999999999998</v>
      </c>
      <c r="DT21" s="1615">
        <f t="shared" si="46"/>
        <v>-1</v>
      </c>
      <c r="DU21" s="1648">
        <f t="shared" si="47"/>
        <v>-1</v>
      </c>
      <c r="DV21" s="1615">
        <f t="shared" si="48"/>
        <v>0</v>
      </c>
      <c r="DW21" s="1615">
        <f t="shared" si="49"/>
        <v>0</v>
      </c>
      <c r="DX21" s="244"/>
      <c r="DY21" s="1669" t="str">
        <f t="shared" si="121"/>
        <v>varav avskrivningar immateriella anläggningstillgångar</v>
      </c>
      <c r="DZ21" s="1670"/>
      <c r="EA21" s="1671">
        <f t="shared" si="122"/>
        <v>-1</v>
      </c>
      <c r="EB21" s="1672">
        <f t="shared" si="123"/>
        <v>-0.97499999999999998</v>
      </c>
      <c r="EC21" s="1671">
        <f t="shared" si="124"/>
        <v>-2</v>
      </c>
      <c r="ED21" s="1672">
        <f t="shared" si="125"/>
        <v>-1.95</v>
      </c>
      <c r="EE21" s="1671">
        <f t="shared" si="126"/>
        <v>-3.95</v>
      </c>
      <c r="EF21" s="1672">
        <f t="shared" si="127"/>
        <v>-3.9</v>
      </c>
      <c r="EH21" s="1093">
        <f t="shared" ref="EH21:EH24" si="151">EA21/EB21-1</f>
        <v>2.5641025641025772E-2</v>
      </c>
      <c r="EI21" s="1093">
        <f t="shared" ref="EI21:EI24" si="152">EE21/EF21-1</f>
        <v>1.2820512820512997E-2</v>
      </c>
      <c r="EK21" s="1669" t="s">
        <v>270</v>
      </c>
      <c r="EL21" s="1670"/>
      <c r="EM21" s="1671">
        <f t="shared" si="74"/>
        <v>-1</v>
      </c>
      <c r="EN21" s="1672">
        <f t="shared" si="75"/>
        <v>-0.97499999999999998</v>
      </c>
      <c r="EO21" s="1671">
        <f t="shared" si="76"/>
        <v>-2</v>
      </c>
      <c r="EP21" s="1672">
        <f t="shared" si="77"/>
        <v>-1.95</v>
      </c>
      <c r="EQ21" s="1671">
        <f t="shared" si="78"/>
        <v>-3.95</v>
      </c>
      <c r="ER21" s="1672">
        <f t="shared" si="79"/>
        <v>-3.9</v>
      </c>
      <c r="ET21" s="242"/>
      <c r="EU21" s="242"/>
      <c r="EV21" s="242"/>
      <c r="EW21" s="907" t="s">
        <v>257</v>
      </c>
      <c r="EX21" s="908">
        <f t="shared" si="139"/>
        <v>49.921047664000092</v>
      </c>
      <c r="EY21" s="909">
        <f t="shared" si="139"/>
        <v>8.6347499999998387</v>
      </c>
      <c r="EZ21" s="908">
        <f t="shared" si="139"/>
        <v>68.103137916000065</v>
      </c>
      <c r="FA21" s="909">
        <f t="shared" si="139"/>
        <v>35.849099999999886</v>
      </c>
      <c r="FB21" s="2032">
        <f t="shared" si="139"/>
        <v>67.428237916000228</v>
      </c>
      <c r="FC21" s="908">
        <f t="shared" si="139"/>
        <v>35.174200000000035</v>
      </c>
      <c r="FD21" s="310"/>
      <c r="FE21" s="310"/>
      <c r="FF21" s="901" t="s">
        <v>264</v>
      </c>
      <c r="FG21" s="908">
        <f t="shared" si="112"/>
        <v>6.5392685043924983</v>
      </c>
      <c r="FH21" s="909">
        <f t="shared" si="113"/>
        <v>0.97699013380184319</v>
      </c>
      <c r="FI21" s="908">
        <f t="shared" si="114"/>
        <v>8.8475656056223908</v>
      </c>
      <c r="FJ21" s="909">
        <f t="shared" si="115"/>
        <v>4.4398026760372868</v>
      </c>
      <c r="FK21" s="2032">
        <f t="shared" si="116"/>
        <v>8.5419972855791642</v>
      </c>
      <c r="FL21" s="908">
        <f t="shared" si="117"/>
        <v>4.1342343559940575</v>
      </c>
      <c r="FM21" s="310"/>
      <c r="FN21" s="2155" t="str">
        <f>EW22</f>
        <v>Resultat per aktie från kvarvarande verksamhet (efter skatt), kr (ingen utspädning finns)</v>
      </c>
      <c r="FO21" s="242"/>
      <c r="FP21" s="2163">
        <f t="shared" ref="FP21:FU22" si="153">_xlfn.XLOOKUP($FN21,$EW$18:$EW$29,EX$18:EX$29,,,)</f>
        <v>6.5392685043924983</v>
      </c>
      <c r="FQ21" s="2164">
        <f t="shared" si="153"/>
        <v>0.97699013380184319</v>
      </c>
      <c r="FR21" s="2163">
        <f t="shared" si="153"/>
        <v>8.8475656056223908</v>
      </c>
      <c r="FS21" s="2164">
        <f t="shared" si="153"/>
        <v>4.4398026760372868</v>
      </c>
      <c r="FT21" s="2163">
        <f t="shared" si="153"/>
        <v>8.5419972855791642</v>
      </c>
      <c r="FU21" s="2164">
        <f t="shared" si="153"/>
        <v>4.1342343559940575</v>
      </c>
      <c r="FV21" s="2235"/>
      <c r="FW21" s="2163">
        <f t="shared" ref="FW21:GB22" si="154">_xlfn.XLOOKUP($FN21,$EW$33:$EW$44,EX$33:EX$44,,,)</f>
        <v>9.3390998783619494</v>
      </c>
      <c r="FX21" s="2164">
        <f t="shared" si="154"/>
        <v>3.2707122584132793</v>
      </c>
      <c r="FY21" s="2163">
        <f t="shared" si="154"/>
        <v>14.164076226517105</v>
      </c>
      <c r="FZ21" s="2164">
        <f t="shared" si="154"/>
        <v>9.2850385187187392</v>
      </c>
      <c r="GA21" s="2159">
        <f t="shared" si="154"/>
        <v>19.15123665360187</v>
      </c>
      <c r="GB21" s="2160">
        <f t="shared" si="154"/>
        <v>14.272198945803508</v>
      </c>
      <c r="GC21" s="310"/>
      <c r="GD21" s="1577" t="s">
        <v>913</v>
      </c>
      <c r="GE21" s="242"/>
      <c r="GF21" s="2339">
        <f t="shared" ref="GF21:GK22" si="155">FP21</f>
        <v>6.5392685043924983</v>
      </c>
      <c r="GG21" s="2340">
        <f t="shared" si="155"/>
        <v>0.97699013380184319</v>
      </c>
      <c r="GH21" s="2339">
        <f t="shared" si="155"/>
        <v>8.8475656056223908</v>
      </c>
      <c r="GI21" s="2340">
        <f t="shared" si="155"/>
        <v>4.4398026760372868</v>
      </c>
      <c r="GJ21" s="908">
        <f t="shared" si="155"/>
        <v>8.5419972855791642</v>
      </c>
      <c r="GK21" s="2032">
        <f t="shared" si="155"/>
        <v>4.1342343559940575</v>
      </c>
      <c r="GL21" s="242"/>
      <c r="GM21" s="2339">
        <f t="shared" ref="GM21:GR22" si="156">FW21</f>
        <v>9.3390998783619494</v>
      </c>
      <c r="GN21" s="2340">
        <f t="shared" si="156"/>
        <v>3.2707122584132793</v>
      </c>
      <c r="GO21" s="2339">
        <f t="shared" si="156"/>
        <v>14.164076226517105</v>
      </c>
      <c r="GP21" s="2340">
        <f t="shared" si="156"/>
        <v>9.2850385187187392</v>
      </c>
      <c r="GQ21" s="908">
        <f t="shared" si="156"/>
        <v>19.15123665360187</v>
      </c>
      <c r="GR21" s="2032">
        <f t="shared" si="156"/>
        <v>14.272198945803508</v>
      </c>
      <c r="GS21" s="242"/>
      <c r="GT21" s="242"/>
      <c r="GU21" s="412" t="s">
        <v>279</v>
      </c>
      <c r="GV21" s="242"/>
      <c r="GW21" s="1520">
        <f>[2]rapkvart!AE167</f>
        <v>521</v>
      </c>
      <c r="GX21" s="1520">
        <f>[2]rapkvart!AF167</f>
        <v>524</v>
      </c>
      <c r="GY21" s="1520">
        <f>[2]rapkvart!AG167</f>
        <v>518</v>
      </c>
      <c r="GZ21" s="1520">
        <f>[2]rapkvart!AH167</f>
        <v>500</v>
      </c>
      <c r="HA21" s="1520">
        <f>[2]rapkvart!AA167</f>
        <v>492</v>
      </c>
      <c r="HB21" s="1520">
        <f>[2]rapkvart!AB167</f>
        <v>502</v>
      </c>
      <c r="HC21" s="1520">
        <f>[2]rapkvart!AC167</f>
        <v>506</v>
      </c>
      <c r="HD21" s="1520">
        <f>[2]rapkvart!AD167</f>
        <v>503</v>
      </c>
      <c r="HE21" s="1520">
        <f>[2]rapkvart!W167</f>
        <v>499</v>
      </c>
      <c r="HF21" s="1520">
        <f>[2]rapkvart!X167</f>
        <v>498</v>
      </c>
      <c r="HG21" s="1520">
        <f>[2]rapkvart!Y167</f>
        <v>506</v>
      </c>
      <c r="HH21" s="1520">
        <f>[2]rapkvart!Z167</f>
        <v>503</v>
      </c>
      <c r="HJ21" s="2103">
        <f>HF21</f>
        <v>498</v>
      </c>
      <c r="HK21" s="2102">
        <f>HB21-3</f>
        <v>499</v>
      </c>
      <c r="HL21" s="2103">
        <f>AVERAGEA(HE21:HF21)</f>
        <v>498.5</v>
      </c>
      <c r="HM21" s="2102">
        <f>AVERAGEA(HA21:HB21)</f>
        <v>497</v>
      </c>
      <c r="HN21" s="2103">
        <f>AVERAGEA(HC21:HF21)-3</f>
        <v>498.5</v>
      </c>
      <c r="HO21" s="2101">
        <f>AVERAGEA(HA21:HD21)-3</f>
        <v>497.75</v>
      </c>
      <c r="HP21" s="1999" t="s">
        <v>860</v>
      </c>
      <c r="HQ21" s="310"/>
      <c r="HR21" s="310"/>
      <c r="HS21" s="310"/>
      <c r="HT21" s="310"/>
      <c r="HU21" s="310"/>
      <c r="HV21" s="310"/>
      <c r="HW21" s="310"/>
      <c r="HX21" s="310"/>
      <c r="HY21" s="310"/>
      <c r="HZ21" s="892"/>
      <c r="IA21" s="412" t="s">
        <v>280</v>
      </c>
      <c r="IB21" s="930">
        <f t="shared" si="118"/>
        <v>498</v>
      </c>
      <c r="IC21" s="931">
        <f t="shared" si="118"/>
        <v>499</v>
      </c>
      <c r="ID21" s="930">
        <f t="shared" si="118"/>
        <v>498.5</v>
      </c>
      <c r="IE21" s="931">
        <f t="shared" si="118"/>
        <v>497</v>
      </c>
      <c r="IF21" s="930">
        <f t="shared" si="118"/>
        <v>498.5</v>
      </c>
      <c r="IG21" s="1576">
        <f t="shared" si="118"/>
        <v>497.75</v>
      </c>
      <c r="IJ21" s="1678">
        <f t="shared" si="5"/>
        <v>0</v>
      </c>
      <c r="IK21" s="264">
        <f t="shared" si="23"/>
        <v>12</v>
      </c>
      <c r="IL21" s="242"/>
      <c r="IM21" s="242"/>
      <c r="IN21" s="1669" t="str">
        <f t="shared" si="133"/>
        <v>varav avskrivningar immateriella anläggningstillgångar</v>
      </c>
      <c r="IO21" s="1710">
        <f>Avskrivningar!AL12</f>
        <v>0</v>
      </c>
      <c r="IP21" s="1698"/>
      <c r="IQ21" s="1698"/>
      <c r="IR21" s="242"/>
      <c r="IS21" s="242"/>
      <c r="IT21" s="1678">
        <f t="shared" si="7"/>
        <v>0</v>
      </c>
      <c r="IU21" s="264">
        <f t="shared" si="24"/>
        <v>12</v>
      </c>
      <c r="IV21" s="242"/>
      <c r="IW21" s="1705"/>
      <c r="IX21" s="1722" t="s">
        <v>269</v>
      </c>
      <c r="IY21" s="1669"/>
      <c r="IZ21" s="1706">
        <f>IO21</f>
        <v>0</v>
      </c>
      <c r="JA21" s="1698">
        <f t="shared" si="86"/>
        <v>-1</v>
      </c>
      <c r="JB21" s="1671">
        <f t="shared" si="134"/>
        <v>-1</v>
      </c>
      <c r="JC21" s="242"/>
      <c r="JD21" s="242"/>
      <c r="JE21" s="242"/>
      <c r="JF21" s="1905" t="str">
        <f t="shared" si="135"/>
        <v>varav avskrivningar immateriella anläggningstillgångar</v>
      </c>
      <c r="JG21" s="1906">
        <f t="shared" si="136"/>
        <v>0</v>
      </c>
      <c r="JH21" s="1907">
        <f t="shared" si="147"/>
        <v>-1</v>
      </c>
      <c r="JI21" s="1906">
        <f t="shared" si="137"/>
        <v>-1</v>
      </c>
      <c r="JJ21" s="242"/>
      <c r="JK21" s="242"/>
      <c r="JL21" s="242"/>
      <c r="JM21" s="1905" t="s">
        <v>275</v>
      </c>
      <c r="JN21" s="1671">
        <f t="shared" si="87"/>
        <v>0</v>
      </c>
      <c r="JO21" s="1698">
        <f t="shared" si="148"/>
        <v>-1</v>
      </c>
      <c r="JP21" s="1671">
        <f t="shared" si="88"/>
        <v>-1</v>
      </c>
      <c r="JQ21" s="242"/>
    </row>
    <row r="22" spans="2:2045 2050:3071 3076:5117 5122:6143 6148:8189 8194:9215 9220:11261 11266:12287 12292:14333 14338:15359 15364:16379" s="269" customFormat="1" outlineLevel="3" x14ac:dyDescent="0.2">
      <c r="B22" s="264">
        <f t="shared" si="27"/>
        <v>13</v>
      </c>
      <c r="D22" s="317" t="s">
        <v>247</v>
      </c>
      <c r="E22" s="316"/>
      <c r="G22" s="970" t="s">
        <v>247</v>
      </c>
      <c r="H22" s="970"/>
      <c r="I22" s="970"/>
      <c r="J22" s="970"/>
      <c r="K22" s="970"/>
      <c r="L22" s="970"/>
      <c r="M22" s="970"/>
      <c r="N22" s="970"/>
      <c r="O22" s="970"/>
      <c r="P22" s="970"/>
      <c r="Q22" s="970"/>
      <c r="R22" s="970"/>
      <c r="S22" s="1072"/>
      <c r="T22" s="970" t="s">
        <v>247</v>
      </c>
      <c r="U22" s="1077"/>
      <c r="V22" s="1077"/>
      <c r="W22" s="1077"/>
      <c r="X22" s="1077"/>
      <c r="Y22" s="1077"/>
      <c r="Z22" s="1077"/>
      <c r="AA22" s="1077"/>
      <c r="AB22" s="1077"/>
      <c r="AC22" s="1077"/>
      <c r="AD22" s="1077"/>
      <c r="AE22" s="1077"/>
      <c r="AV22" s="1681" t="str">
        <f t="shared" si="28"/>
        <v>[OBS! EXTRA RAD MANUELLT INLAGD]</v>
      </c>
      <c r="AW22" s="1680"/>
      <c r="AX22" s="1679"/>
      <c r="AY22" s="1679"/>
      <c r="AZ22" s="1679"/>
      <c r="BA22" s="1679"/>
      <c r="BB22" s="1679"/>
      <c r="BC22" s="1679"/>
      <c r="BE22" s="316" t="str">
        <f t="shared" si="142"/>
        <v>[OBS! EXTRA RAD MANUELLT INLAGD]</v>
      </c>
      <c r="BF22" s="316"/>
      <c r="BG22" s="1574"/>
      <c r="BH22" s="1574"/>
      <c r="BI22" s="1574"/>
      <c r="BJ22" s="1574"/>
      <c r="BK22" s="1574"/>
      <c r="BL22" s="1574"/>
      <c r="BN22" s="242"/>
      <c r="BP22" s="322" t="str">
        <f t="shared" si="119"/>
        <v>varav avskrivningar fastigheter</v>
      </c>
      <c r="BQ22" s="1304">
        <f>Avskrivningar!AP13</f>
        <v>-3.5250000000000004</v>
      </c>
      <c r="BR22" s="1304">
        <f>Avskrivningar!AQ13</f>
        <v>-3.5250000000000004</v>
      </c>
      <c r="BS22" s="1304">
        <f>Avskrivningar!AR13</f>
        <v>-3.5250000000000004</v>
      </c>
      <c r="BT22" s="1304">
        <f>Avskrivningar!AS13</f>
        <v>-3.5250000000000004</v>
      </c>
      <c r="BU22" s="1304">
        <f>Avskrivningar!AT13</f>
        <v>-3.5250000000000004</v>
      </c>
      <c r="BV22" s="1304">
        <f>Avskrivningar!AU13</f>
        <v>-3.5250000000000004</v>
      </c>
      <c r="BW22" s="1304">
        <f>Avskrivningar!AV13</f>
        <v>-3.5250000000000004</v>
      </c>
      <c r="BX22" s="1304">
        <f>Avskrivningar!AW13</f>
        <v>-3.5250000000000004</v>
      </c>
      <c r="BY22" s="1304">
        <f>Avskrivningar!AX13</f>
        <v>-3.6570510000000001</v>
      </c>
      <c r="BZ22" s="1304">
        <f>Avskrivningar!AY13</f>
        <v>-3.863</v>
      </c>
      <c r="CA22" s="973"/>
      <c r="CB22" s="323"/>
      <c r="CE22" s="1288">
        <f t="shared" si="35"/>
        <v>1</v>
      </c>
      <c r="CF22" s="281">
        <f t="shared" si="36"/>
        <v>13</v>
      </c>
      <c r="CH22" s="1608"/>
      <c r="CI22" s="323" t="s">
        <v>276</v>
      </c>
      <c r="CJ22" s="1023"/>
      <c r="CK22" s="1031">
        <f t="shared" ref="CK22:CK24" si="157">BQ22</f>
        <v>-3.5250000000000004</v>
      </c>
      <c r="CL22" s="1031">
        <f t="shared" si="149"/>
        <v>-3.5250000000000004</v>
      </c>
      <c r="CM22" s="1031">
        <f t="shared" si="149"/>
        <v>-3.5250000000000004</v>
      </c>
      <c r="CN22" s="1031">
        <f t="shared" si="149"/>
        <v>-3.5250000000000004</v>
      </c>
      <c r="CO22" s="1031">
        <f t="shared" si="149"/>
        <v>-3.5250000000000004</v>
      </c>
      <c r="CP22" s="1031">
        <f t="shared" si="149"/>
        <v>-3.5250000000000004</v>
      </c>
      <c r="CQ22" s="1031">
        <f t="shared" si="149"/>
        <v>-3.5250000000000004</v>
      </c>
      <c r="CR22" s="1031">
        <f t="shared" si="149"/>
        <v>-3.5250000000000004</v>
      </c>
      <c r="CS22" s="1031">
        <f t="shared" si="149"/>
        <v>-3.6570510000000001</v>
      </c>
      <c r="CT22" s="1031">
        <f t="shared" si="149"/>
        <v>-3.863</v>
      </c>
      <c r="CU22" s="1031">
        <f t="shared" si="149"/>
        <v>0</v>
      </c>
      <c r="CV22" s="1031">
        <f t="shared" si="149"/>
        <v>0</v>
      </c>
      <c r="CW22" s="1010"/>
      <c r="CX22" s="2043">
        <f>CO22/CK22-1</f>
        <v>0</v>
      </c>
      <c r="CY22" s="2043">
        <f t="shared" si="150"/>
        <v>0</v>
      </c>
      <c r="CZ22" s="2043">
        <f t="shared" si="150"/>
        <v>0</v>
      </c>
      <c r="DA22" s="2043">
        <f t="shared" si="150"/>
        <v>0</v>
      </c>
      <c r="DB22" s="2043">
        <f t="shared" si="150"/>
        <v>3.7461276595744497E-2</v>
      </c>
      <c r="DC22" s="2058">
        <f t="shared" si="150"/>
        <v>9.5886524822694996E-2</v>
      </c>
      <c r="DD22" s="2043">
        <f t="shared" si="150"/>
        <v>-1</v>
      </c>
      <c r="DE22" s="2043">
        <f t="shared" si="150"/>
        <v>-1</v>
      </c>
      <c r="DF22" s="1010"/>
      <c r="DG22" s="1010"/>
      <c r="DH22" s="1010"/>
      <c r="DI22" s="1010"/>
      <c r="DJ22" s="244"/>
      <c r="DK22" s="1637" t="str">
        <f t="shared" si="73"/>
        <v>varav avskrivningar fastigheter</v>
      </c>
      <c r="DL22" s="1620" t="e">
        <f t="shared" si="38"/>
        <v>#VALUE!</v>
      </c>
      <c r="DM22" s="1620">
        <f t="shared" si="39"/>
        <v>-3.5250000000000004</v>
      </c>
      <c r="DN22" s="1620">
        <f t="shared" si="40"/>
        <v>-3.5250000000000004</v>
      </c>
      <c r="DO22" s="1620">
        <f t="shared" si="41"/>
        <v>-3.5250000000000004</v>
      </c>
      <c r="DP22" s="1620">
        <f t="shared" si="42"/>
        <v>-3.5250000000000004</v>
      </c>
      <c r="DQ22" s="1620">
        <f t="shared" si="43"/>
        <v>-3.5250000000000004</v>
      </c>
      <c r="DR22" s="1620">
        <f t="shared" si="44"/>
        <v>-3.5250000000000004</v>
      </c>
      <c r="DS22" s="1620">
        <f t="shared" si="45"/>
        <v>-3.5250000000000004</v>
      </c>
      <c r="DT22" s="1620">
        <f t="shared" si="46"/>
        <v>-3.6570510000000001</v>
      </c>
      <c r="DU22" s="1653">
        <f t="shared" si="47"/>
        <v>-3.863</v>
      </c>
      <c r="DV22" s="1620">
        <f t="shared" si="48"/>
        <v>0</v>
      </c>
      <c r="DW22" s="1620">
        <f t="shared" si="49"/>
        <v>0</v>
      </c>
      <c r="DX22" s="244"/>
      <c r="DY22" s="1190" t="str">
        <f t="shared" si="121"/>
        <v>varav avskrivningar fastigheter</v>
      </c>
      <c r="DZ22" s="1668"/>
      <c r="EA22" s="1239">
        <f t="shared" si="122"/>
        <v>-3.863</v>
      </c>
      <c r="EB22" s="1240">
        <f t="shared" si="123"/>
        <v>-3.5250000000000004</v>
      </c>
      <c r="EC22" s="1239">
        <f t="shared" si="124"/>
        <v>-7.5200510000000005</v>
      </c>
      <c r="ED22" s="1240">
        <f t="shared" si="125"/>
        <v>-7.0500000000000007</v>
      </c>
      <c r="EE22" s="1239">
        <f t="shared" si="126"/>
        <v>-14.570050999999999</v>
      </c>
      <c r="EF22" s="1240">
        <f t="shared" si="127"/>
        <v>-14.100000000000001</v>
      </c>
      <c r="EH22" s="1093">
        <f t="shared" si="151"/>
        <v>9.5886524822694996E-2</v>
      </c>
      <c r="EI22" s="1093">
        <f t="shared" si="152"/>
        <v>3.3336950354609707E-2</v>
      </c>
      <c r="EK22" s="1190" t="s">
        <v>277</v>
      </c>
      <c r="EL22" s="1668"/>
      <c r="EM22" s="1239">
        <f t="shared" si="74"/>
        <v>-3.863</v>
      </c>
      <c r="EN22" s="1240">
        <f t="shared" si="75"/>
        <v>-3.5250000000000004</v>
      </c>
      <c r="EO22" s="1239">
        <f t="shared" si="76"/>
        <v>-7.5200510000000005</v>
      </c>
      <c r="EP22" s="1240">
        <f t="shared" si="77"/>
        <v>-7.0500000000000007</v>
      </c>
      <c r="EQ22" s="1239">
        <f t="shared" si="78"/>
        <v>-14.570050999999999</v>
      </c>
      <c r="ER22" s="1240">
        <f t="shared" si="79"/>
        <v>-14.100000000000001</v>
      </c>
      <c r="ET22" s="242"/>
      <c r="EU22" s="242"/>
      <c r="EV22" s="242"/>
      <c r="EW22" s="907" t="s">
        <v>587</v>
      </c>
      <c r="EX22" s="908">
        <f t="shared" ref="EX22:FC22" si="158">HJ49</f>
        <v>6.5392685043924983</v>
      </c>
      <c r="EY22" s="909">
        <f t="shared" si="158"/>
        <v>0.97699013380184319</v>
      </c>
      <c r="EZ22" s="908">
        <f t="shared" si="158"/>
        <v>8.8475656056223908</v>
      </c>
      <c r="FA22" s="909">
        <f t="shared" si="158"/>
        <v>4.4398026760372868</v>
      </c>
      <c r="FB22" s="2032">
        <f t="shared" si="158"/>
        <v>8.5419972855791642</v>
      </c>
      <c r="FC22" s="908">
        <f t="shared" si="158"/>
        <v>4.1342343559940575</v>
      </c>
      <c r="FD22" s="310"/>
      <c r="FE22" s="310"/>
      <c r="FF22" s="901" t="s">
        <v>272</v>
      </c>
      <c r="FG22" s="908">
        <f t="shared" si="112"/>
        <v>6.4516891017705218</v>
      </c>
      <c r="FH22" s="909">
        <f t="shared" si="113"/>
        <v>-4.1120421678626957E-2</v>
      </c>
      <c r="FI22" s="908">
        <f t="shared" si="114"/>
        <v>8.376826316529268</v>
      </c>
      <c r="FJ22" s="909">
        <f t="shared" si="115"/>
        <v>3.0494796594134193</v>
      </c>
      <c r="FK22" s="2032">
        <f t="shared" si="116"/>
        <v>5.0826108820111129</v>
      </c>
      <c r="FL22" s="908">
        <f t="shared" si="117"/>
        <v>-0.24473577510473854</v>
      </c>
      <c r="FM22" s="310"/>
      <c r="FN22" s="2155" t="str">
        <f>EW23</f>
        <v>Periodens resultat per aktie (efter skatt), kr (ingen utspädning finns)</v>
      </c>
      <c r="FO22" s="242"/>
      <c r="FP22" s="2163">
        <f t="shared" si="153"/>
        <v>6.4516891017705218</v>
      </c>
      <c r="FQ22" s="2164">
        <f t="shared" si="153"/>
        <v>-4.1120421678626957E-2</v>
      </c>
      <c r="FR22" s="2163">
        <f t="shared" si="153"/>
        <v>8.376826316529268</v>
      </c>
      <c r="FS22" s="2164">
        <f t="shared" si="153"/>
        <v>3.0494796594134193</v>
      </c>
      <c r="FT22" s="2163">
        <f t="shared" si="153"/>
        <v>5.0826108820111129</v>
      </c>
      <c r="FU22" s="2164">
        <f t="shared" si="153"/>
        <v>-0.24473577510473854</v>
      </c>
      <c r="FV22" s="2235"/>
      <c r="FW22" s="2163">
        <f t="shared" si="154"/>
        <v>9.2580078388971589</v>
      </c>
      <c r="FX22" s="2164">
        <f t="shared" si="154"/>
        <v>2.2570617651033733</v>
      </c>
      <c r="FY22" s="2163">
        <f t="shared" si="154"/>
        <v>13.704554669549948</v>
      </c>
      <c r="FZ22" s="2164">
        <f t="shared" si="154"/>
        <v>7.9064738478172671</v>
      </c>
      <c r="GA22" s="2159">
        <f t="shared" si="154"/>
        <v>15.731855656169786</v>
      </c>
      <c r="GB22" s="2160">
        <f t="shared" si="154"/>
        <v>9.9337748344371057</v>
      </c>
      <c r="GC22" s="310"/>
      <c r="GD22" s="1577" t="s">
        <v>915</v>
      </c>
      <c r="GE22" s="242"/>
      <c r="GF22" s="2339">
        <f t="shared" si="155"/>
        <v>6.4516891017705218</v>
      </c>
      <c r="GG22" s="2340">
        <f t="shared" si="155"/>
        <v>-4.1120421678626957E-2</v>
      </c>
      <c r="GH22" s="2339">
        <f t="shared" si="155"/>
        <v>8.376826316529268</v>
      </c>
      <c r="GI22" s="2340">
        <f t="shared" si="155"/>
        <v>3.0494796594134193</v>
      </c>
      <c r="GJ22" s="908">
        <f t="shared" si="155"/>
        <v>5.0826108820111129</v>
      </c>
      <c r="GK22" s="2032">
        <f t="shared" si="155"/>
        <v>-0.24473577510473854</v>
      </c>
      <c r="GL22" s="242"/>
      <c r="GM22" s="2339">
        <f t="shared" si="156"/>
        <v>9.2580078388971589</v>
      </c>
      <c r="GN22" s="2340">
        <f t="shared" si="156"/>
        <v>2.2570617651033733</v>
      </c>
      <c r="GO22" s="2339">
        <f t="shared" si="156"/>
        <v>13.704554669549948</v>
      </c>
      <c r="GP22" s="2340">
        <f t="shared" si="156"/>
        <v>7.9064738478172671</v>
      </c>
      <c r="GQ22" s="908">
        <f t="shared" si="156"/>
        <v>15.731855656169786</v>
      </c>
      <c r="GR22" s="2032">
        <f t="shared" si="156"/>
        <v>9.9337748344371057</v>
      </c>
      <c r="GS22" s="242"/>
      <c r="GT22" s="242"/>
      <c r="GU22" s="412" t="s">
        <v>286</v>
      </c>
      <c r="GV22" s="242"/>
      <c r="GW22" s="1514">
        <f t="shared" ref="GW22" si="159">GW12/GW21</f>
        <v>1.1155470249520154</v>
      </c>
      <c r="GX22" s="1514">
        <f t="shared" ref="GX22:HH22" si="160">GX12/GX21</f>
        <v>1.1536259541984732</v>
      </c>
      <c r="GY22" s="1514">
        <f t="shared" si="160"/>
        <v>0.97799227799227784</v>
      </c>
      <c r="GZ22" s="1514">
        <f t="shared" si="160"/>
        <v>1.1590000000000005</v>
      </c>
      <c r="HA22" s="1514">
        <f t="shared" si="160"/>
        <v>1.3</v>
      </c>
      <c r="HB22" s="1514">
        <f t="shared" si="160"/>
        <v>1.3386454183266929</v>
      </c>
      <c r="HC22" s="1514">
        <f t="shared" si="160"/>
        <v>0.98379446640316237</v>
      </c>
      <c r="HD22" s="1514">
        <f t="shared" si="160"/>
        <v>1.034592445328032</v>
      </c>
      <c r="HE22" s="1514">
        <f t="shared" si="160"/>
        <v>1.2216432865731464</v>
      </c>
      <c r="HF22" s="1514">
        <f>HF12/HF21</f>
        <v>1.3748995983935741</v>
      </c>
      <c r="HG22" s="1514">
        <f t="shared" si="160"/>
        <v>1.0179841897233204</v>
      </c>
      <c r="HH22" s="1514">
        <f t="shared" si="160"/>
        <v>1.034592445328032</v>
      </c>
      <c r="HJ22" s="2062">
        <f>HJ12/HJ21</f>
        <v>1.3748995983935741</v>
      </c>
      <c r="HK22" s="2064">
        <f>HK12/HK21</f>
        <v>1.3466933867735469</v>
      </c>
      <c r="HL22" s="2062">
        <f>SUM(HE12:HF12)/AVERAGEA(HE21:HF21)</f>
        <v>2.5963891675025073</v>
      </c>
      <c r="HM22" s="2064">
        <f>SUM(HA12:HB12)/AVERAGEA(HA21:HB21)</f>
        <v>2.639034205231388</v>
      </c>
      <c r="HN22" s="2062">
        <f>SUM(HC12:HF12)/AVERAGEA(HC21:HF21)</f>
        <v>4.6111665004985047</v>
      </c>
      <c r="HO22" s="2063">
        <f>SUM(HA12:HD12)/AVERAGEA(HA21:HD21)</f>
        <v>4.6526210683974041</v>
      </c>
      <c r="HP22" s="1999" t="s">
        <v>769</v>
      </c>
      <c r="HQ22" s="310"/>
      <c r="HR22" s="310"/>
      <c r="HS22" s="310"/>
      <c r="HT22" s="310"/>
      <c r="HU22" s="310"/>
      <c r="HV22" s="310"/>
      <c r="HW22" s="310"/>
      <c r="HX22" s="310"/>
      <c r="HY22" s="310"/>
      <c r="HZ22" s="892"/>
      <c r="IA22" s="412" t="s">
        <v>287</v>
      </c>
      <c r="IB22" s="925">
        <f t="shared" si="118"/>
        <v>1.3748995983935741</v>
      </c>
      <c r="IC22" s="924">
        <f t="shared" si="118"/>
        <v>1.3466933867735469</v>
      </c>
      <c r="ID22" s="925">
        <f t="shared" si="118"/>
        <v>2.5963891675025073</v>
      </c>
      <c r="IE22" s="924">
        <f t="shared" si="118"/>
        <v>2.639034205231388</v>
      </c>
      <c r="IF22" s="925">
        <f t="shared" si="118"/>
        <v>4.6111665004985047</v>
      </c>
      <c r="IG22" s="1575">
        <f t="shared" si="118"/>
        <v>4.6526210683974041</v>
      </c>
      <c r="IJ22" s="1678">
        <f t="shared" si="5"/>
        <v>0</v>
      </c>
      <c r="IK22" s="264">
        <f t="shared" si="23"/>
        <v>13</v>
      </c>
      <c r="IL22" s="242"/>
      <c r="IM22" s="242"/>
      <c r="IN22" s="1190" t="str">
        <f t="shared" si="133"/>
        <v>varav avskrivningar fastigheter</v>
      </c>
      <c r="IO22" s="1711">
        <f>Avskrivningar!AL13</f>
        <v>-1.9000000000000001</v>
      </c>
      <c r="IP22" s="1699"/>
      <c r="IQ22" s="1699"/>
      <c r="IR22" s="242"/>
      <c r="IS22" s="242"/>
      <c r="IT22" s="1678">
        <f t="shared" si="7"/>
        <v>0</v>
      </c>
      <c r="IU22" s="264">
        <f t="shared" si="24"/>
        <v>13</v>
      </c>
      <c r="IV22" s="242"/>
      <c r="IW22" s="1705"/>
      <c r="IX22" s="1723" t="s">
        <v>276</v>
      </c>
      <c r="IY22" s="1190"/>
      <c r="IZ22" s="1707">
        <f>IO22</f>
        <v>-1.9000000000000001</v>
      </c>
      <c r="JA22" s="1699">
        <f t="shared" si="86"/>
        <v>-1.9629999999999999</v>
      </c>
      <c r="JB22" s="1239">
        <f t="shared" si="134"/>
        <v>-3.863</v>
      </c>
      <c r="JC22" s="242"/>
      <c r="JD22" s="242"/>
      <c r="JE22" s="242"/>
      <c r="JF22" s="1908" t="str">
        <f t="shared" si="135"/>
        <v>varav avskrivningar fastigheter</v>
      </c>
      <c r="JG22" s="1909">
        <f t="shared" si="136"/>
        <v>-1.9000000000000001</v>
      </c>
      <c r="JH22" s="1910">
        <f t="shared" si="147"/>
        <v>-1.9629999999999999</v>
      </c>
      <c r="JI22" s="1909">
        <f t="shared" si="137"/>
        <v>-3.863</v>
      </c>
      <c r="JJ22" s="242"/>
      <c r="JK22" s="242"/>
      <c r="JL22" s="242"/>
      <c r="JM22" s="1908" t="s">
        <v>281</v>
      </c>
      <c r="JN22" s="1239">
        <f t="shared" si="87"/>
        <v>-1.9000000000000001</v>
      </c>
      <c r="JO22" s="1699">
        <f t="shared" si="148"/>
        <v>-1.9629999999999999</v>
      </c>
      <c r="JP22" s="1239">
        <f t="shared" si="88"/>
        <v>-3.863</v>
      </c>
      <c r="JQ22" s="242"/>
    </row>
    <row r="23" spans="2:2045 2050:3071 3076:5117 5122:6143 6148:8189 8194:9215 9220:11261 11266:12287 12292:14333 14338:15359 15364:16379" s="269" customFormat="1" ht="11.25" customHeight="1" outlineLevel="3" x14ac:dyDescent="0.2">
      <c r="B23" s="264">
        <f t="shared" si="27"/>
        <v>14</v>
      </c>
      <c r="D23" s="317" t="s">
        <v>247</v>
      </c>
      <c r="E23" s="316"/>
      <c r="G23" s="970" t="s">
        <v>247</v>
      </c>
      <c r="H23" s="970"/>
      <c r="I23" s="970"/>
      <c r="J23" s="970"/>
      <c r="K23" s="970"/>
      <c r="L23" s="970"/>
      <c r="M23" s="970"/>
      <c r="N23" s="970"/>
      <c r="O23" s="970"/>
      <c r="P23" s="970"/>
      <c r="Q23" s="970"/>
      <c r="R23" s="970"/>
      <c r="S23" s="1072"/>
      <c r="T23" s="970" t="s">
        <v>247</v>
      </c>
      <c r="U23" s="1077"/>
      <c r="V23" s="1077"/>
      <c r="W23" s="1077"/>
      <c r="X23" s="1077"/>
      <c r="Y23" s="1077"/>
      <c r="Z23" s="1077"/>
      <c r="AA23" s="1077"/>
      <c r="AB23" s="1077"/>
      <c r="AC23" s="1077"/>
      <c r="AD23" s="1077"/>
      <c r="AE23" s="1077"/>
      <c r="AV23" s="1681" t="str">
        <f t="shared" si="28"/>
        <v>[OBS! EXTRA RAD MANUELLT INLAGD]</v>
      </c>
      <c r="AW23" s="1680"/>
      <c r="AX23" s="1679"/>
      <c r="AY23" s="1679"/>
      <c r="AZ23" s="1679"/>
      <c r="BA23" s="1679"/>
      <c r="BB23" s="1679"/>
      <c r="BC23" s="1679"/>
      <c r="BE23" s="316" t="str">
        <f t="shared" si="142"/>
        <v>[OBS! EXTRA RAD MANUELLT INLAGD]</v>
      </c>
      <c r="BF23" s="316"/>
      <c r="BG23" s="1574"/>
      <c r="BH23" s="1574"/>
      <c r="BI23" s="1574"/>
      <c r="BJ23" s="1574"/>
      <c r="BK23" s="1574"/>
      <c r="BL23" s="1574"/>
      <c r="BN23" s="242"/>
      <c r="BP23" s="322" t="str">
        <f t="shared" si="119"/>
        <v>varav avskrivningar maskiner och inventarier</v>
      </c>
      <c r="BQ23" s="1304">
        <f>Avskrivningar!AP14</f>
        <v>-38.324999999999996</v>
      </c>
      <c r="BR23" s="1304">
        <f>Avskrivningar!AQ14</f>
        <v>-38.324999999999996</v>
      </c>
      <c r="BS23" s="1304">
        <f>Avskrivningar!AR14</f>
        <v>-38.324999999999996</v>
      </c>
      <c r="BT23" s="1304">
        <f>Avskrivningar!AS14</f>
        <v>-38.324999999999996</v>
      </c>
      <c r="BU23" s="1304">
        <f>Avskrivningar!AT14</f>
        <v>-38.674999999999997</v>
      </c>
      <c r="BV23" s="1304">
        <f>Avskrivningar!AU14</f>
        <v>-38.674999999999997</v>
      </c>
      <c r="BW23" s="1304">
        <f>Avskrivningar!AV14</f>
        <v>-38.674999999999997</v>
      </c>
      <c r="BX23" s="1304">
        <f>Avskrivningar!AW14</f>
        <v>-38.674999999999997</v>
      </c>
      <c r="BY23" s="1304">
        <f>Avskrivningar!AX14</f>
        <v>-38.078339</v>
      </c>
      <c r="BZ23" s="1304">
        <f>Avskrivningar!AY14</f>
        <v>-38.565519999999999</v>
      </c>
      <c r="CA23" s="973"/>
      <c r="CB23" s="323"/>
      <c r="CE23" s="1288">
        <f t="shared" si="35"/>
        <v>1</v>
      </c>
      <c r="CF23" s="281">
        <f t="shared" si="36"/>
        <v>14</v>
      </c>
      <c r="CH23" s="1608"/>
      <c r="CI23" s="323" t="s">
        <v>282</v>
      </c>
      <c r="CJ23" s="1023"/>
      <c r="CK23" s="1031">
        <f t="shared" si="157"/>
        <v>-38.324999999999996</v>
      </c>
      <c r="CL23" s="1031">
        <f t="shared" si="149"/>
        <v>-38.324999999999996</v>
      </c>
      <c r="CM23" s="1031">
        <f t="shared" si="149"/>
        <v>-38.324999999999996</v>
      </c>
      <c r="CN23" s="1031">
        <f t="shared" si="149"/>
        <v>-38.324999999999996</v>
      </c>
      <c r="CO23" s="1031">
        <f t="shared" si="149"/>
        <v>-38.674999999999997</v>
      </c>
      <c r="CP23" s="1031">
        <f t="shared" si="149"/>
        <v>-38.674999999999997</v>
      </c>
      <c r="CQ23" s="1031">
        <f t="shared" si="149"/>
        <v>-38.674999999999997</v>
      </c>
      <c r="CR23" s="1031">
        <f t="shared" si="149"/>
        <v>-38.674999999999997</v>
      </c>
      <c r="CS23" s="1031">
        <f t="shared" si="149"/>
        <v>-38.078339</v>
      </c>
      <c r="CT23" s="1031">
        <f t="shared" si="149"/>
        <v>-38.565519999999999</v>
      </c>
      <c r="CU23" s="1031">
        <f t="shared" si="149"/>
        <v>0</v>
      </c>
      <c r="CV23" s="1031">
        <f t="shared" si="149"/>
        <v>0</v>
      </c>
      <c r="CW23" s="1010"/>
      <c r="CX23" s="2043">
        <f>CO23/CK23-1</f>
        <v>9.1324200913243114E-3</v>
      </c>
      <c r="CY23" s="2043">
        <f t="shared" si="150"/>
        <v>9.1324200913243114E-3</v>
      </c>
      <c r="CZ23" s="2043">
        <f t="shared" si="150"/>
        <v>9.1324200913243114E-3</v>
      </c>
      <c r="DA23" s="2043">
        <f t="shared" si="150"/>
        <v>9.1324200913243114E-3</v>
      </c>
      <c r="DB23" s="2043">
        <f t="shared" si="150"/>
        <v>-1.5427563025209978E-2</v>
      </c>
      <c r="DC23" s="2059">
        <f t="shared" si="150"/>
        <v>-2.8307692307691923E-3</v>
      </c>
      <c r="DD23" s="2043">
        <f t="shared" si="150"/>
        <v>-1</v>
      </c>
      <c r="DE23" s="2043">
        <f t="shared" si="150"/>
        <v>-1</v>
      </c>
      <c r="DF23" s="1010"/>
      <c r="DG23" s="1010"/>
      <c r="DH23" s="1010"/>
      <c r="DI23" s="1010"/>
      <c r="DJ23" s="244"/>
      <c r="DK23" s="1637" t="str">
        <f t="shared" si="73"/>
        <v>varav avskrivningar maskiner och inventarier</v>
      </c>
      <c r="DL23" s="1620" t="e">
        <f t="shared" si="38"/>
        <v>#VALUE!</v>
      </c>
      <c r="DM23" s="1620">
        <f t="shared" si="39"/>
        <v>-38.324999999999996</v>
      </c>
      <c r="DN23" s="1620">
        <f t="shared" si="40"/>
        <v>-38.324999999999996</v>
      </c>
      <c r="DO23" s="1620">
        <f t="shared" si="41"/>
        <v>-38.324999999999996</v>
      </c>
      <c r="DP23" s="1620">
        <f t="shared" si="42"/>
        <v>-38.674999999999997</v>
      </c>
      <c r="DQ23" s="1620">
        <f t="shared" si="43"/>
        <v>-38.674999999999997</v>
      </c>
      <c r="DR23" s="1620">
        <f t="shared" si="44"/>
        <v>-38.674999999999997</v>
      </c>
      <c r="DS23" s="1620">
        <f t="shared" si="45"/>
        <v>-38.674999999999997</v>
      </c>
      <c r="DT23" s="1620">
        <f t="shared" si="46"/>
        <v>-38.078339</v>
      </c>
      <c r="DU23" s="1653">
        <f t="shared" si="47"/>
        <v>-38.565519999999999</v>
      </c>
      <c r="DV23" s="1620">
        <f t="shared" si="48"/>
        <v>0</v>
      </c>
      <c r="DW23" s="1620">
        <f t="shared" si="49"/>
        <v>0</v>
      </c>
      <c r="DX23" s="244"/>
      <c r="DY23" s="1190" t="str">
        <f t="shared" si="121"/>
        <v>varav avskrivningar maskiner och inventarier</v>
      </c>
      <c r="DZ23" s="1668"/>
      <c r="EA23" s="1239">
        <f t="shared" si="122"/>
        <v>-38.565519999999999</v>
      </c>
      <c r="EB23" s="1240">
        <f t="shared" si="123"/>
        <v>-38.674999999999997</v>
      </c>
      <c r="EC23" s="1239">
        <f t="shared" si="124"/>
        <v>-76.643858999999992</v>
      </c>
      <c r="ED23" s="1240">
        <f t="shared" si="125"/>
        <v>-77.349999999999994</v>
      </c>
      <c r="EE23" s="1239">
        <f t="shared" si="126"/>
        <v>-153.99385899999999</v>
      </c>
      <c r="EF23" s="1240">
        <f t="shared" si="127"/>
        <v>-154.69999999999999</v>
      </c>
      <c r="EH23" s="1093">
        <f t="shared" si="151"/>
        <v>-2.8307692307691923E-3</v>
      </c>
      <c r="EI23" s="1093">
        <f t="shared" si="152"/>
        <v>-4.5645830639948759E-3</v>
      </c>
      <c r="EK23" s="1190" t="s">
        <v>283</v>
      </c>
      <c r="EL23" s="1668"/>
      <c r="EM23" s="1239">
        <f t="shared" si="74"/>
        <v>-38.565519999999999</v>
      </c>
      <c r="EN23" s="1240">
        <f t="shared" si="75"/>
        <v>-38.674999999999997</v>
      </c>
      <c r="EO23" s="1239">
        <f t="shared" si="76"/>
        <v>-76.643858999999992</v>
      </c>
      <c r="EP23" s="1240">
        <f t="shared" si="77"/>
        <v>-77.349999999999994</v>
      </c>
      <c r="EQ23" s="1239">
        <f t="shared" si="78"/>
        <v>-153.99385899999999</v>
      </c>
      <c r="ER23" s="1240">
        <f t="shared" si="79"/>
        <v>-154.69999999999999</v>
      </c>
      <c r="ET23" s="242"/>
      <c r="EU23" s="242"/>
      <c r="EV23" s="242"/>
      <c r="EW23" s="907" t="s">
        <v>908</v>
      </c>
      <c r="EX23" s="908">
        <f t="shared" ref="EX23:FC23" si="161">HJ51</f>
        <v>6.4516891017705218</v>
      </c>
      <c r="EY23" s="909">
        <f t="shared" si="161"/>
        <v>-4.1120421678626957E-2</v>
      </c>
      <c r="EZ23" s="908">
        <f t="shared" si="161"/>
        <v>8.376826316529268</v>
      </c>
      <c r="FA23" s="909">
        <f t="shared" si="161"/>
        <v>3.0494796594134193</v>
      </c>
      <c r="FB23" s="2032">
        <f t="shared" si="161"/>
        <v>5.0826108820111129</v>
      </c>
      <c r="FC23" s="908">
        <f t="shared" si="161"/>
        <v>-0.24473577510473854</v>
      </c>
      <c r="FD23" s="310"/>
      <c r="FE23" s="310"/>
      <c r="FF23" s="910" t="s">
        <v>212</v>
      </c>
      <c r="FG23" s="911">
        <f t="shared" si="112"/>
        <v>0.12784667109893286</v>
      </c>
      <c r="FH23" s="912">
        <f t="shared" si="113"/>
        <v>3.0172693623576156E-3</v>
      </c>
      <c r="FI23" s="911">
        <f t="shared" si="114"/>
        <v>8.43039798972475E-2</v>
      </c>
      <c r="FJ23" s="912">
        <f t="shared" si="115"/>
        <v>3.5678265332074896E-2</v>
      </c>
      <c r="FK23" s="912">
        <f t="shared" si="116"/>
        <v>2.7544781234643826E-2</v>
      </c>
      <c r="FL23" s="911">
        <f t="shared" si="117"/>
        <v>1.9168760931301643E-3</v>
      </c>
      <c r="FM23" s="310"/>
      <c r="FN23" s="1577"/>
      <c r="FO23" s="242"/>
      <c r="FP23" s="902"/>
      <c r="FQ23" s="2031"/>
      <c r="FR23" s="902"/>
      <c r="FS23" s="2031"/>
      <c r="FT23" s="902"/>
      <c r="FU23" s="2031"/>
      <c r="FV23" s="243"/>
      <c r="FW23" s="902"/>
      <c r="FX23" s="2031"/>
      <c r="FY23" s="902"/>
      <c r="FZ23" s="2031"/>
      <c r="GA23" s="908"/>
      <c r="GB23" s="2032"/>
      <c r="GC23" s="310"/>
      <c r="GD23" s="1577"/>
      <c r="GE23" s="242"/>
      <c r="GF23" s="2341"/>
      <c r="GG23" s="2342"/>
      <c r="GH23" s="2341"/>
      <c r="GI23" s="2342"/>
      <c r="GJ23" s="908"/>
      <c r="GK23" s="2032"/>
      <c r="GL23" s="242"/>
      <c r="GM23" s="2341"/>
      <c r="GN23" s="2342"/>
      <c r="GO23" s="2341"/>
      <c r="GP23" s="2342"/>
      <c r="GQ23" s="908"/>
      <c r="GR23" s="2032"/>
      <c r="GS23" s="242"/>
      <c r="GT23" s="242"/>
      <c r="GU23" s="923" t="s">
        <v>291</v>
      </c>
      <c r="GV23" s="2107"/>
      <c r="GW23" s="1521">
        <f>[2]rapkvart!AE171</f>
        <v>7399</v>
      </c>
      <c r="GX23" s="1521">
        <f>[2]rapkvart!AF171</f>
        <v>7399</v>
      </c>
      <c r="GY23" s="1521">
        <f>[2]rapkvart!AG171</f>
        <v>7399</v>
      </c>
      <c r="GZ23" s="1521">
        <f>[2]rapkvart!AH171</f>
        <v>7399</v>
      </c>
      <c r="HA23" s="1521">
        <f>[2]rapkvart!AA171</f>
        <v>7399</v>
      </c>
      <c r="HB23" s="1521">
        <f>[2]rapkvart!AB171</f>
        <v>7399</v>
      </c>
      <c r="HC23" s="1521">
        <f>[2]rapkvart!AC171</f>
        <v>7399</v>
      </c>
      <c r="HD23" s="1521">
        <f>[2]rapkvart!AD171</f>
        <v>7399</v>
      </c>
      <c r="HE23" s="1521">
        <f>[2]rapkvart!W171</f>
        <v>7399</v>
      </c>
      <c r="HF23" s="1521">
        <f>[2]rapkvart!X171</f>
        <v>7399</v>
      </c>
      <c r="HG23" s="1521">
        <f>[2]rapkvart!Y171</f>
        <v>7399</v>
      </c>
      <c r="HH23" s="1521">
        <f>[2]rapkvart!Z171</f>
        <v>7399</v>
      </c>
      <c r="HJ23" s="2103">
        <f>HF23</f>
        <v>7399</v>
      </c>
      <c r="HK23" s="2102">
        <f>HB23</f>
        <v>7399</v>
      </c>
      <c r="HL23" s="2103">
        <f>AVERAGEA(HE23:HF23)</f>
        <v>7399</v>
      </c>
      <c r="HM23" s="2102">
        <f>AVERAGEA(HA23:HB23)</f>
        <v>7399</v>
      </c>
      <c r="HN23" s="2103">
        <f>AVERAGEA(HC23:HF23)</f>
        <v>7399</v>
      </c>
      <c r="HO23" s="2101">
        <f>AVERAGEA(HA23:HD23)</f>
        <v>7399</v>
      </c>
      <c r="HP23" s="1999"/>
      <c r="HQ23" s="310"/>
      <c r="HR23" s="310"/>
      <c r="HS23" s="310"/>
      <c r="HT23" s="310"/>
      <c r="HU23" s="310"/>
      <c r="HV23" s="310"/>
      <c r="HW23" s="310"/>
      <c r="HX23" s="310"/>
      <c r="HY23" s="310"/>
      <c r="HZ23" s="892"/>
      <c r="IA23" s="923" t="s">
        <v>292</v>
      </c>
      <c r="IB23" s="930">
        <f t="shared" si="118"/>
        <v>7399</v>
      </c>
      <c r="IC23" s="931">
        <f t="shared" si="118"/>
        <v>7399</v>
      </c>
      <c r="ID23" s="930">
        <f t="shared" si="118"/>
        <v>7399</v>
      </c>
      <c r="IE23" s="931">
        <f t="shared" si="118"/>
        <v>7399</v>
      </c>
      <c r="IF23" s="930">
        <f t="shared" si="118"/>
        <v>7399</v>
      </c>
      <c r="IG23" s="1576">
        <f t="shared" si="118"/>
        <v>7399</v>
      </c>
      <c r="IJ23" s="1678">
        <f t="shared" si="5"/>
        <v>0</v>
      </c>
      <c r="IK23" s="264">
        <f t="shared" si="23"/>
        <v>14</v>
      </c>
      <c r="IL23" s="242"/>
      <c r="IM23" s="242"/>
      <c r="IN23" s="1190" t="str">
        <f t="shared" si="133"/>
        <v>varav avskrivningar maskiner och inventarier</v>
      </c>
      <c r="IO23" s="1711">
        <f>Avskrivningar!AL14</f>
        <v>-16.299999999999997</v>
      </c>
      <c r="IP23" s="1699"/>
      <c r="IQ23" s="1699"/>
      <c r="IR23" s="242"/>
      <c r="IS23" s="242"/>
      <c r="IT23" s="1678">
        <f t="shared" si="7"/>
        <v>0</v>
      </c>
      <c r="IU23" s="264">
        <f t="shared" si="24"/>
        <v>14</v>
      </c>
      <c r="IV23" s="242"/>
      <c r="IW23" s="1705"/>
      <c r="IX23" s="1723" t="s">
        <v>282</v>
      </c>
      <c r="IY23" s="1190"/>
      <c r="IZ23" s="1707">
        <f>IO23</f>
        <v>-16.299999999999997</v>
      </c>
      <c r="JA23" s="1699">
        <f t="shared" si="86"/>
        <v>-22.265520000000002</v>
      </c>
      <c r="JB23" s="1239">
        <f t="shared" si="134"/>
        <v>-38.565519999999999</v>
      </c>
      <c r="JC23" s="242"/>
      <c r="JD23" s="242"/>
      <c r="JE23" s="242"/>
      <c r="JF23" s="1911" t="str">
        <f t="shared" si="135"/>
        <v>varav avskrivningar maskiner och inventarier</v>
      </c>
      <c r="JG23" s="1912">
        <f t="shared" si="136"/>
        <v>-16.299999999999997</v>
      </c>
      <c r="JH23" s="1913">
        <f t="shared" si="147"/>
        <v>-22.265520000000002</v>
      </c>
      <c r="JI23" s="1912">
        <f t="shared" si="137"/>
        <v>-38.565519999999999</v>
      </c>
      <c r="JJ23" s="242"/>
      <c r="JK23" s="242"/>
      <c r="JL23" s="242"/>
      <c r="JM23" s="1908" t="s">
        <v>288</v>
      </c>
      <c r="JN23" s="1239">
        <f t="shared" si="87"/>
        <v>-16.299999999999997</v>
      </c>
      <c r="JO23" s="1699">
        <f t="shared" si="148"/>
        <v>-22.265520000000002</v>
      </c>
      <c r="JP23" s="1239">
        <f t="shared" si="88"/>
        <v>-38.565519999999999</v>
      </c>
      <c r="JQ23" s="242"/>
    </row>
    <row r="24" spans="2:2045 2050:3071 3076:5117 5122:6143 6148:8189 8194:9215 9220:11261 11266:12287 12292:14333 14338:15359 15364:16379" s="2153" customFormat="1" ht="11.25" customHeight="1" outlineLevel="3" thickBot="1" x14ac:dyDescent="0.25">
      <c r="B24" s="2345">
        <f t="shared" si="27"/>
        <v>15</v>
      </c>
      <c r="D24" s="1681" t="s">
        <v>247</v>
      </c>
      <c r="E24" s="1680"/>
      <c r="G24" s="2346" t="s">
        <v>247</v>
      </c>
      <c r="H24" s="2346"/>
      <c r="I24" s="2346"/>
      <c r="J24" s="2346"/>
      <c r="K24" s="2346"/>
      <c r="L24" s="2346"/>
      <c r="M24" s="2346"/>
      <c r="N24" s="2346"/>
      <c r="O24" s="2346"/>
      <c r="P24" s="2346"/>
      <c r="Q24" s="2346"/>
      <c r="R24" s="2346"/>
      <c r="S24" s="2347"/>
      <c r="T24" s="2346" t="s">
        <v>247</v>
      </c>
      <c r="U24" s="2348"/>
      <c r="V24" s="2348"/>
      <c r="W24" s="2348"/>
      <c r="X24" s="2348"/>
      <c r="Y24" s="2348"/>
      <c r="Z24" s="2348"/>
      <c r="AA24" s="2348"/>
      <c r="AB24" s="2348"/>
      <c r="AC24" s="2348"/>
      <c r="AD24" s="2348"/>
      <c r="AE24" s="2348"/>
      <c r="AV24" s="1681" t="str">
        <f t="shared" si="28"/>
        <v>[OBS! EXTRA RAD MANUELLT INLAGD]</v>
      </c>
      <c r="AW24" s="1680"/>
      <c r="AX24" s="1679"/>
      <c r="AY24" s="1679"/>
      <c r="AZ24" s="1679"/>
      <c r="BA24" s="1679"/>
      <c r="BB24" s="1679"/>
      <c r="BC24" s="1679"/>
      <c r="BE24" s="1680" t="str">
        <f t="shared" si="142"/>
        <v>[OBS! EXTRA RAD MANUELLT INLAGD]</v>
      </c>
      <c r="BF24" s="1680"/>
      <c r="BG24" s="2349"/>
      <c r="BH24" s="2349"/>
      <c r="BI24" s="2349"/>
      <c r="BJ24" s="2349"/>
      <c r="BK24" s="2349"/>
      <c r="BL24" s="2349"/>
      <c r="BN24" s="2350"/>
      <c r="BP24" s="2351" t="str">
        <f t="shared" si="119"/>
        <v>varav avskrivningar nyttjanderättstillgångar</v>
      </c>
      <c r="BQ24" s="2352">
        <f>Avskrivningar!AP15</f>
        <v>-3.375</v>
      </c>
      <c r="BR24" s="2352">
        <f>Avskrivningar!AQ15</f>
        <v>-3.375</v>
      </c>
      <c r="BS24" s="2352">
        <f>Avskrivningar!AR15</f>
        <v>-3.375</v>
      </c>
      <c r="BT24" s="2352">
        <f>Avskrivningar!AS15</f>
        <v>-3.375</v>
      </c>
      <c r="BU24" s="2352">
        <f>Avskrivningar!AT15</f>
        <v>-3.35</v>
      </c>
      <c r="BV24" s="2352">
        <f>Avskrivningar!AU15</f>
        <v>-3.35</v>
      </c>
      <c r="BW24" s="2352">
        <f>Avskrivningar!AV15</f>
        <v>-3.35</v>
      </c>
      <c r="BX24" s="2352">
        <f>Avskrivningar!AW15</f>
        <v>-3.35</v>
      </c>
      <c r="BY24" s="2352">
        <f>Avskrivningar!AX15</f>
        <v>-3.5652520000000001</v>
      </c>
      <c r="BZ24" s="2352">
        <f>Avskrivningar!AY15</f>
        <v>-3.498624</v>
      </c>
      <c r="CA24" s="2353"/>
      <c r="CB24" s="2354"/>
      <c r="CE24" s="2355"/>
      <c r="CF24" s="2356"/>
      <c r="CH24" s="2357"/>
      <c r="CI24" s="2354" t="s">
        <v>289</v>
      </c>
      <c r="CJ24" s="2358"/>
      <c r="CK24" s="2359">
        <f t="shared" si="157"/>
        <v>-3.375</v>
      </c>
      <c r="CL24" s="2359">
        <f t="shared" si="149"/>
        <v>-3.375</v>
      </c>
      <c r="CM24" s="2359">
        <f t="shared" si="149"/>
        <v>-3.375</v>
      </c>
      <c r="CN24" s="2359">
        <f t="shared" si="149"/>
        <v>-3.375</v>
      </c>
      <c r="CO24" s="2359">
        <f t="shared" si="149"/>
        <v>-3.35</v>
      </c>
      <c r="CP24" s="2359">
        <f t="shared" si="149"/>
        <v>-3.35</v>
      </c>
      <c r="CQ24" s="2359">
        <f t="shared" si="149"/>
        <v>-3.35</v>
      </c>
      <c r="CR24" s="2359">
        <f t="shared" si="149"/>
        <v>-3.35</v>
      </c>
      <c r="CS24" s="2359">
        <f t="shared" si="149"/>
        <v>-3.5652520000000001</v>
      </c>
      <c r="CT24" s="2359">
        <f t="shared" si="149"/>
        <v>-3.498624</v>
      </c>
      <c r="CU24" s="2359">
        <f t="shared" si="149"/>
        <v>0</v>
      </c>
      <c r="CV24" s="2359">
        <f t="shared" si="149"/>
        <v>0</v>
      </c>
      <c r="CW24" s="2360"/>
      <c r="CX24" s="2361">
        <f>CO24/CK24-1</f>
        <v>-7.4074074074074181E-3</v>
      </c>
      <c r="CY24" s="2361">
        <f t="shared" si="150"/>
        <v>-7.4074074074074181E-3</v>
      </c>
      <c r="CZ24" s="2361">
        <f t="shared" si="150"/>
        <v>-7.4074074074074181E-3</v>
      </c>
      <c r="DA24" s="2361">
        <f t="shared" si="150"/>
        <v>-7.4074074074074181E-3</v>
      </c>
      <c r="DB24" s="2361">
        <f t="shared" si="150"/>
        <v>6.4254328358208879E-2</v>
      </c>
      <c r="DC24" s="2362">
        <f t="shared" si="150"/>
        <v>4.4365373134328312E-2</v>
      </c>
      <c r="DD24" s="2361">
        <f t="shared" si="150"/>
        <v>-1</v>
      </c>
      <c r="DE24" s="2361">
        <f t="shared" si="150"/>
        <v>-1</v>
      </c>
      <c r="DF24" s="2360"/>
      <c r="DG24" s="2360"/>
      <c r="DH24" s="2360"/>
      <c r="DI24" s="2360"/>
      <c r="DJ24" s="2363"/>
      <c r="DK24" s="2364"/>
      <c r="DL24" s="2365" t="e">
        <f t="shared" si="38"/>
        <v>#VALUE!</v>
      </c>
      <c r="DM24" s="2365">
        <f t="shared" si="39"/>
        <v>-3.375</v>
      </c>
      <c r="DN24" s="2365">
        <f t="shared" si="40"/>
        <v>-3.375</v>
      </c>
      <c r="DO24" s="2365">
        <f t="shared" si="41"/>
        <v>-3.375</v>
      </c>
      <c r="DP24" s="2365">
        <f t="shared" si="42"/>
        <v>-3.35</v>
      </c>
      <c r="DQ24" s="2365">
        <f t="shared" si="43"/>
        <v>-3.35</v>
      </c>
      <c r="DR24" s="2365">
        <f t="shared" si="44"/>
        <v>-3.35</v>
      </c>
      <c r="DS24" s="2365">
        <f t="shared" si="45"/>
        <v>-3.35</v>
      </c>
      <c r="DT24" s="2365">
        <f t="shared" si="46"/>
        <v>-3.5652520000000001</v>
      </c>
      <c r="DU24" s="2366">
        <f t="shared" si="47"/>
        <v>-3.498624</v>
      </c>
      <c r="DV24" s="2365">
        <f t="shared" si="48"/>
        <v>0</v>
      </c>
      <c r="DW24" s="2365">
        <f t="shared" si="49"/>
        <v>0</v>
      </c>
      <c r="DX24" s="2363"/>
      <c r="DY24" s="1778" t="str">
        <f t="shared" si="121"/>
        <v>varav avskrivningar nyttjanderättstillgångar</v>
      </c>
      <c r="DZ24" s="2395"/>
      <c r="EA24" s="1779">
        <f t="shared" si="122"/>
        <v>-3.498624</v>
      </c>
      <c r="EB24" s="2395">
        <f t="shared" si="123"/>
        <v>-3.35</v>
      </c>
      <c r="EC24" s="1779">
        <f t="shared" si="124"/>
        <v>-7.0638760000000005</v>
      </c>
      <c r="ED24" s="2395">
        <f t="shared" si="125"/>
        <v>-6.7</v>
      </c>
      <c r="EE24" s="1779">
        <f t="shared" si="126"/>
        <v>-13.763876</v>
      </c>
      <c r="EF24" s="2395">
        <f t="shared" si="127"/>
        <v>-13.4</v>
      </c>
      <c r="EH24" s="2367">
        <f t="shared" si="151"/>
        <v>4.4365373134328312E-2</v>
      </c>
      <c r="EI24" s="2367">
        <f t="shared" si="152"/>
        <v>2.7154925373134242E-2</v>
      </c>
      <c r="EK24" s="2394" t="s">
        <v>290</v>
      </c>
      <c r="EL24" s="2392"/>
      <c r="EM24" s="2393">
        <f t="shared" si="74"/>
        <v>-3.498624</v>
      </c>
      <c r="EN24" s="2392">
        <f t="shared" si="75"/>
        <v>-3.35</v>
      </c>
      <c r="EO24" s="2393">
        <f t="shared" si="76"/>
        <v>-7.0638760000000005</v>
      </c>
      <c r="EP24" s="2392">
        <f t="shared" si="77"/>
        <v>-6.7</v>
      </c>
      <c r="EQ24" s="2393">
        <f t="shared" si="78"/>
        <v>-13.763876</v>
      </c>
      <c r="ER24" s="2392">
        <f t="shared" si="79"/>
        <v>-13.4</v>
      </c>
      <c r="ET24" s="2350"/>
      <c r="EU24" s="2350"/>
      <c r="EV24" s="2350"/>
      <c r="EW24" s="2391" t="s">
        <v>278</v>
      </c>
      <c r="EX24" s="2390">
        <f t="shared" ref="EX24:FC24" si="162">HJ37</f>
        <v>0.12784667109893286</v>
      </c>
      <c r="EY24" s="2389">
        <f t="shared" si="162"/>
        <v>3.0172693623576156E-3</v>
      </c>
      <c r="EZ24" s="2390">
        <f t="shared" si="162"/>
        <v>8.43039798972475E-2</v>
      </c>
      <c r="FA24" s="2389">
        <f t="shared" si="162"/>
        <v>3.5678265332074896E-2</v>
      </c>
      <c r="FB24" s="2389">
        <f t="shared" si="162"/>
        <v>2.7544781234643826E-2</v>
      </c>
      <c r="FC24" s="2390">
        <f t="shared" si="162"/>
        <v>1.9168760931301643E-3</v>
      </c>
      <c r="FD24" s="2368"/>
      <c r="FE24" s="2368"/>
      <c r="FF24" s="2388" t="s">
        <v>285</v>
      </c>
      <c r="FG24" s="2387" t="str">
        <f t="shared" si="112"/>
        <v>Kvartal 2</v>
      </c>
      <c r="FH24" s="2386">
        <f t="shared" si="113"/>
        <v>0</v>
      </c>
      <c r="FI24" s="2387" t="str">
        <f t="shared" si="114"/>
        <v>Kvartal 1-2</v>
      </c>
      <c r="FJ24" s="2386">
        <f t="shared" si="115"/>
        <v>0</v>
      </c>
      <c r="FK24" s="2385" t="str">
        <f t="shared" si="116"/>
        <v>Kvartal 2, R12</v>
      </c>
      <c r="FL24" s="2385" t="str">
        <f t="shared" si="117"/>
        <v>Helår</v>
      </c>
      <c r="FM24" s="2368"/>
      <c r="FN24" s="2384" t="str">
        <f>EW24</f>
        <v xml:space="preserve">Avkastning på eget kapital (efter skatt) baserat på periodens resultat (efter skatt) % </v>
      </c>
      <c r="FO24" s="2350"/>
      <c r="FP24" s="2343">
        <f t="shared" ref="FP24:FU24" si="163">_xlfn.XLOOKUP($FN24,$EW$18:$EW$29,EX$18:EX$29,,,)</f>
        <v>0.12784667109893286</v>
      </c>
      <c r="FQ24" s="2344">
        <f t="shared" si="163"/>
        <v>3.0172693623576156E-3</v>
      </c>
      <c r="FR24" s="2343">
        <f t="shared" si="163"/>
        <v>8.43039798972475E-2</v>
      </c>
      <c r="FS24" s="2344">
        <f t="shared" si="163"/>
        <v>3.5678265332074896E-2</v>
      </c>
      <c r="FT24" s="2343">
        <f t="shared" si="163"/>
        <v>2.7544781234643826E-2</v>
      </c>
      <c r="FU24" s="2344">
        <f t="shared" si="163"/>
        <v>1.9168760931301643E-3</v>
      </c>
      <c r="FV24" s="2369"/>
      <c r="FW24" s="2343">
        <f t="shared" ref="FW24:GB24" si="164">_xlfn.XLOOKUP($FN24,$EW$33:$EW$44,EX$33:EX$44,,,)</f>
        <v>0.36297640653357571</v>
      </c>
      <c r="FX24" s="2344">
        <f t="shared" si="164"/>
        <v>0.10204369274136635</v>
      </c>
      <c r="FY24" s="2343">
        <f t="shared" si="164"/>
        <v>0.27363020456488862</v>
      </c>
      <c r="FZ24" s="2344">
        <f t="shared" si="164"/>
        <v>0.17940490081680258</v>
      </c>
      <c r="GA24" s="2390">
        <f t="shared" si="164"/>
        <v>0.16054313099041562</v>
      </c>
      <c r="GB24" s="2389">
        <f t="shared" si="164"/>
        <v>0.11244690806997353</v>
      </c>
      <c r="GC24" s="2368"/>
      <c r="GD24" s="2383" t="s">
        <v>918</v>
      </c>
      <c r="GE24" s="2350"/>
      <c r="GF24" s="2343">
        <f t="shared" ref="GF24:GK24" si="165">FP24</f>
        <v>0.12784667109893286</v>
      </c>
      <c r="GG24" s="2344">
        <f t="shared" si="165"/>
        <v>3.0172693623576156E-3</v>
      </c>
      <c r="GH24" s="2343">
        <f t="shared" si="165"/>
        <v>8.43039798972475E-2</v>
      </c>
      <c r="GI24" s="2344">
        <f t="shared" si="165"/>
        <v>3.5678265332074896E-2</v>
      </c>
      <c r="GJ24" s="2390">
        <f t="shared" si="165"/>
        <v>2.7544781234643826E-2</v>
      </c>
      <c r="GK24" s="2389">
        <f t="shared" si="165"/>
        <v>1.9168760931301643E-3</v>
      </c>
      <c r="GL24" s="2350"/>
      <c r="GM24" s="2343">
        <f>FW24</f>
        <v>0.36297640653357571</v>
      </c>
      <c r="GN24" s="2344">
        <f t="shared" ref="GN24:GR24" si="166">FX24</f>
        <v>0.10204369274136635</v>
      </c>
      <c r="GO24" s="2343">
        <f t="shared" si="166"/>
        <v>0.27363020456488862</v>
      </c>
      <c r="GP24" s="2344">
        <f t="shared" si="166"/>
        <v>0.17940490081680258</v>
      </c>
      <c r="GQ24" s="2390">
        <f t="shared" si="166"/>
        <v>0.16054313099041562</v>
      </c>
      <c r="GR24" s="2389">
        <f t="shared" si="166"/>
        <v>0.11244690806997353</v>
      </c>
      <c r="GS24" s="2367"/>
      <c r="GT24" s="2350"/>
      <c r="GU24" s="2382" t="s">
        <v>296</v>
      </c>
      <c r="GV24" s="2350"/>
      <c r="GW24" s="2381">
        <f>[2]rapkvart!AE172</f>
        <v>7399</v>
      </c>
      <c r="GX24" s="2381">
        <f>[2]rapkvart!AF172</f>
        <v>7399</v>
      </c>
      <c r="GY24" s="2381">
        <f>[2]rapkvart!AG172</f>
        <v>7399</v>
      </c>
      <c r="GZ24" s="2381">
        <f>[2]rapkvart!AH172</f>
        <v>7399</v>
      </c>
      <c r="HA24" s="2381">
        <f>[2]rapkvart!AA172</f>
        <v>7399</v>
      </c>
      <c r="HB24" s="2381">
        <f>[2]rapkvart!AB172</f>
        <v>7399</v>
      </c>
      <c r="HC24" s="2381">
        <f>[2]rapkvart!AC172</f>
        <v>7399</v>
      </c>
      <c r="HD24" s="2381">
        <f>[2]rapkvart!AD172</f>
        <v>7399</v>
      </c>
      <c r="HE24" s="2381">
        <f>[2]rapkvart!W172</f>
        <v>7399</v>
      </c>
      <c r="HF24" s="2381">
        <f>[2]rapkvart!X172</f>
        <v>7399</v>
      </c>
      <c r="HG24" s="2381">
        <f>[2]rapkvart!Y172</f>
        <v>7399</v>
      </c>
      <c r="HH24" s="2381">
        <f>[2]rapkvart!Z172</f>
        <v>7399</v>
      </c>
      <c r="HJ24" s="2106">
        <f>HF24</f>
        <v>7399</v>
      </c>
      <c r="HK24" s="2105">
        <f>HB24</f>
        <v>7399</v>
      </c>
      <c r="HL24" s="2106">
        <f>HF24</f>
        <v>7399</v>
      </c>
      <c r="HM24" s="2105">
        <f>HB24</f>
        <v>7399</v>
      </c>
      <c r="HN24" s="2106">
        <f>HF24</f>
        <v>7399</v>
      </c>
      <c r="HO24" s="2104">
        <f>HD24</f>
        <v>7399</v>
      </c>
      <c r="HP24" s="2370"/>
      <c r="HQ24" s="2368"/>
      <c r="HR24" s="2368"/>
      <c r="HS24" s="2368"/>
      <c r="HT24" s="2368"/>
      <c r="HU24" s="2368"/>
      <c r="HV24" s="2368"/>
      <c r="HW24" s="2368"/>
      <c r="HX24" s="2368"/>
      <c r="HY24" s="2368"/>
      <c r="HZ24" s="2371"/>
      <c r="IA24" s="2380" t="s">
        <v>297</v>
      </c>
      <c r="IB24" s="2106">
        <f t="shared" si="118"/>
        <v>7399</v>
      </c>
      <c r="IC24" s="2105">
        <f t="shared" si="118"/>
        <v>7399</v>
      </c>
      <c r="ID24" s="2106">
        <f t="shared" si="118"/>
        <v>7399</v>
      </c>
      <c r="IE24" s="2105">
        <f t="shared" si="118"/>
        <v>7399</v>
      </c>
      <c r="IF24" s="2106">
        <f t="shared" si="118"/>
        <v>7399</v>
      </c>
      <c r="IG24" s="2104">
        <f t="shared" si="118"/>
        <v>7399</v>
      </c>
      <c r="IJ24" s="2372"/>
      <c r="IK24" s="2345"/>
      <c r="IL24" s="2350"/>
      <c r="IM24" s="2350"/>
      <c r="IN24" s="2394" t="str">
        <f t="shared" ref="IN24" si="167">IX24</f>
        <v>varav avskrivningar nyttjanderättstillgångar</v>
      </c>
      <c r="IO24" s="2379">
        <f>Avskrivningar!AL15</f>
        <v>-3.4999999999999996</v>
      </c>
      <c r="IP24" s="2378"/>
      <c r="IQ24" s="2378"/>
      <c r="IR24" s="2350"/>
      <c r="IS24" s="2350"/>
      <c r="IT24" s="2372"/>
      <c r="IU24" s="2345"/>
      <c r="IV24" s="2350"/>
      <c r="IW24" s="2373"/>
      <c r="IX24" s="2377" t="s">
        <v>289</v>
      </c>
      <c r="IY24" s="2394"/>
      <c r="IZ24" s="2376">
        <f>IO24</f>
        <v>-3.4999999999999996</v>
      </c>
      <c r="JA24" s="2378">
        <f t="shared" si="86"/>
        <v>1.3759999999995998E-3</v>
      </c>
      <c r="JB24" s="2393">
        <f t="shared" si="134"/>
        <v>-3.498624</v>
      </c>
      <c r="JC24" s="2350"/>
      <c r="JD24" s="2350"/>
      <c r="JE24" s="2350"/>
      <c r="JF24" s="2338" t="str">
        <f t="shared" ref="JF24" si="168">IX24</f>
        <v>varav avskrivningar nyttjanderättstillgångar</v>
      </c>
      <c r="JG24" s="2375">
        <f t="shared" ref="JG24" si="169">IZ24</f>
        <v>-3.4999999999999996</v>
      </c>
      <c r="JH24" s="2374">
        <f t="shared" si="147"/>
        <v>1.3759999999995998E-3</v>
      </c>
      <c r="JI24" s="2375">
        <f t="shared" ref="JI24" si="170">JB24</f>
        <v>-3.498624</v>
      </c>
      <c r="JJ24" s="2350"/>
      <c r="JK24" s="2350"/>
      <c r="JL24" s="2350"/>
      <c r="JM24" s="2338" t="s">
        <v>293</v>
      </c>
      <c r="JN24" s="1779">
        <f t="shared" si="87"/>
        <v>-3.4999999999999996</v>
      </c>
      <c r="JO24" s="1780">
        <f t="shared" si="148"/>
        <v>1.3759999999995998E-3</v>
      </c>
      <c r="JP24" s="1779">
        <f t="shared" si="88"/>
        <v>-3.498624</v>
      </c>
      <c r="JQ24" s="2350"/>
    </row>
    <row r="25" spans="2:2045 2050:3071 3076:5117 5122:6143 6148:8189 8194:9215 9220:11261 11266:12287 12292:14333 14338:15359 15364:16379" s="269" customFormat="1" ht="10.5" customHeight="1" outlineLevel="3" thickBot="1" x14ac:dyDescent="0.25">
      <c r="B25" s="264">
        <f t="shared" si="27"/>
        <v>16</v>
      </c>
      <c r="D25" s="317" t="s">
        <v>247</v>
      </c>
      <c r="E25" s="316"/>
      <c r="G25" s="970" t="s">
        <v>247</v>
      </c>
      <c r="H25" s="970"/>
      <c r="I25" s="970"/>
      <c r="J25" s="970"/>
      <c r="K25" s="970"/>
      <c r="L25" s="970"/>
      <c r="M25" s="970"/>
      <c r="N25" s="970"/>
      <c r="O25" s="970"/>
      <c r="P25" s="970"/>
      <c r="Q25" s="970"/>
      <c r="R25" s="970"/>
      <c r="S25" s="1072"/>
      <c r="T25" s="970" t="s">
        <v>247</v>
      </c>
      <c r="U25" s="1077"/>
      <c r="V25" s="1077"/>
      <c r="W25" s="1077"/>
      <c r="X25" s="1077"/>
      <c r="Y25" s="1077"/>
      <c r="Z25" s="1077"/>
      <c r="AA25" s="1077"/>
      <c r="AB25" s="1077"/>
      <c r="AC25" s="1077"/>
      <c r="AD25" s="1077"/>
      <c r="AE25" s="1077"/>
      <c r="AV25" s="1681" t="str">
        <f t="shared" si="28"/>
        <v>[OBS! EXTRA RAD MANUELLT INLAGD]</v>
      </c>
      <c r="AW25" s="1680"/>
      <c r="AX25" s="1679"/>
      <c r="AY25" s="1679"/>
      <c r="AZ25" s="1679"/>
      <c r="BA25" s="1679"/>
      <c r="BB25" s="1679"/>
      <c r="BC25" s="1679"/>
      <c r="BE25" s="316" t="str">
        <f t="shared" si="142"/>
        <v>[OBS! EXTRA RAD MANUELLT INLAGD]</v>
      </c>
      <c r="BF25" s="316"/>
      <c r="BG25" s="1574"/>
      <c r="BH25" s="1574"/>
      <c r="BI25" s="1574"/>
      <c r="BJ25" s="1574"/>
      <c r="BK25" s="1574"/>
      <c r="BL25" s="1574"/>
      <c r="BN25" s="242"/>
      <c r="BP25" s="328" t="str">
        <f t="shared" si="119"/>
        <v>Rörelseresultat</v>
      </c>
      <c r="BQ25" s="974"/>
      <c r="BR25" s="975"/>
      <c r="BS25" s="975"/>
      <c r="BT25" s="975"/>
      <c r="BU25" s="975"/>
      <c r="BV25" s="975"/>
      <c r="BW25" s="975"/>
      <c r="BX25" s="975"/>
      <c r="BY25" s="975"/>
      <c r="BZ25" s="975"/>
      <c r="CA25" s="975"/>
      <c r="CB25" s="328"/>
      <c r="CE25" s="1288">
        <f t="shared" ref="CE25:CE56" si="171">IF(CI25=D25,0,1)</f>
        <v>1</v>
      </c>
      <c r="CF25" s="281">
        <f>CF23+1</f>
        <v>15</v>
      </c>
      <c r="CH25" s="1608"/>
      <c r="CI25" s="328" t="s">
        <v>294</v>
      </c>
      <c r="CJ25" s="329"/>
      <c r="CK25" s="974">
        <f>SUM(CK19:CK20)</f>
        <v>20.302500000000016</v>
      </c>
      <c r="CL25" s="974">
        <f t="shared" ref="CL25:CV25" si="172">SUM(CL19:CL20)</f>
        <v>32.20250000000005</v>
      </c>
      <c r="CM25" s="974">
        <f t="shared" si="172"/>
        <v>10.50249999999982</v>
      </c>
      <c r="CN25" s="974">
        <f t="shared" si="172"/>
        <v>4.4025000000002308</v>
      </c>
      <c r="CO25" s="974">
        <f t="shared" si="172"/>
        <v>32.875000000000064</v>
      </c>
      <c r="CP25" s="974">
        <f t="shared" si="172"/>
        <v>16.674999999999798</v>
      </c>
      <c r="CQ25" s="974">
        <f t="shared" si="172"/>
        <v>4.7750000000000838</v>
      </c>
      <c r="CR25" s="974">
        <f t="shared" si="172"/>
        <v>-3.1249999999998934</v>
      </c>
      <c r="CS25" s="974">
        <f t="shared" si="172"/>
        <v>26.099357999999974</v>
      </c>
      <c r="CT25" s="974">
        <f t="shared" si="172"/>
        <v>67.17285600000011</v>
      </c>
      <c r="CU25" s="974">
        <f t="shared" si="172"/>
        <v>-15.800000000000045</v>
      </c>
      <c r="CV25" s="974">
        <f t="shared" si="172"/>
        <v>21.600000000000094</v>
      </c>
      <c r="CW25" s="1008"/>
      <c r="CX25" s="2043"/>
      <c r="CY25" s="2043"/>
      <c r="CZ25" s="2043"/>
      <c r="DA25" s="2043"/>
      <c r="DB25" s="2043"/>
      <c r="DC25" s="2043"/>
      <c r="DD25" s="2043"/>
      <c r="DE25" s="2043"/>
      <c r="DF25" s="1008"/>
      <c r="DG25" s="1008"/>
      <c r="DH25" s="1008"/>
      <c r="DI25" s="1008"/>
      <c r="DJ25" s="244"/>
      <c r="DK25" s="1637" t="str">
        <f t="shared" si="73"/>
        <v>Rörelseresultat</v>
      </c>
      <c r="DL25" s="1620" t="e">
        <f t="shared" si="38"/>
        <v>#VALUE!</v>
      </c>
      <c r="DM25" s="1620">
        <f t="shared" si="39"/>
        <v>32.20250000000005</v>
      </c>
      <c r="DN25" s="1620">
        <f t="shared" si="40"/>
        <v>10.50249999999982</v>
      </c>
      <c r="DO25" s="1620">
        <f t="shared" si="41"/>
        <v>4.4025000000002308</v>
      </c>
      <c r="DP25" s="1620">
        <f t="shared" si="42"/>
        <v>32.875000000000064</v>
      </c>
      <c r="DQ25" s="1620">
        <f t="shared" si="43"/>
        <v>16.674999999999798</v>
      </c>
      <c r="DR25" s="1620">
        <f t="shared" si="44"/>
        <v>4.7750000000000838</v>
      </c>
      <c r="DS25" s="1620">
        <f t="shared" si="45"/>
        <v>-3.1249999999998934</v>
      </c>
      <c r="DT25" s="1620">
        <f t="shared" si="46"/>
        <v>26.099357999999974</v>
      </c>
      <c r="DU25" s="1653">
        <f t="shared" si="47"/>
        <v>67.17285600000011</v>
      </c>
      <c r="DV25" s="1620">
        <f t="shared" si="48"/>
        <v>-15.800000000000045</v>
      </c>
      <c r="DW25" s="1620">
        <f t="shared" si="49"/>
        <v>21.600000000000094</v>
      </c>
      <c r="DX25" s="244"/>
      <c r="DY25" s="1787" t="str">
        <f t="shared" si="121"/>
        <v>Rörelseresultat</v>
      </c>
      <c r="DZ25" s="1976"/>
      <c r="EA25" s="1977">
        <f t="shared" si="122"/>
        <v>67.17285600000011</v>
      </c>
      <c r="EB25" s="1978">
        <f t="shared" si="123"/>
        <v>16.674999999999798</v>
      </c>
      <c r="EC25" s="1977">
        <f t="shared" si="124"/>
        <v>93.272214000000076</v>
      </c>
      <c r="ED25" s="1978">
        <f t="shared" si="125"/>
        <v>49.549999999999862</v>
      </c>
      <c r="EE25" s="1977">
        <f t="shared" si="126"/>
        <v>94.922214000000281</v>
      </c>
      <c r="EF25" s="1978">
        <f t="shared" si="127"/>
        <v>51.200000000000053</v>
      </c>
      <c r="EH25" s="242"/>
      <c r="EI25" s="242"/>
      <c r="EK25" s="1187" t="s">
        <v>255</v>
      </c>
      <c r="EL25" s="1189"/>
      <c r="EM25" s="1235">
        <f t="shared" si="74"/>
        <v>67.17285600000011</v>
      </c>
      <c r="EN25" s="1236">
        <f t="shared" si="75"/>
        <v>16.674999999999798</v>
      </c>
      <c r="EO25" s="1235">
        <f t="shared" si="76"/>
        <v>93.272214000000076</v>
      </c>
      <c r="EP25" s="1236">
        <f t="shared" si="77"/>
        <v>49.549999999999862</v>
      </c>
      <c r="EQ25" s="1235">
        <f t="shared" si="78"/>
        <v>94.922214000000281</v>
      </c>
      <c r="ER25" s="1236">
        <f t="shared" si="79"/>
        <v>51.200000000000053</v>
      </c>
      <c r="ET25" s="242"/>
      <c r="EU25" s="242"/>
      <c r="EV25" s="242"/>
      <c r="EW25" s="913" t="s">
        <v>284</v>
      </c>
      <c r="EX25" s="896" t="str">
        <f>EX$10</f>
        <v>Kvartal 2</v>
      </c>
      <c r="EY25" s="897"/>
      <c r="EZ25" s="896" t="str">
        <f>EZ$10</f>
        <v>Kvartal 1-2</v>
      </c>
      <c r="FA25" s="897"/>
      <c r="FB25" s="898" t="str">
        <f>FB$10</f>
        <v>Kvartal 2, R12</v>
      </c>
      <c r="FC25" s="898" t="str">
        <f>FC$10</f>
        <v>Helår</v>
      </c>
      <c r="FD25" s="310"/>
      <c r="FE25" s="310"/>
      <c r="FF25" s="899"/>
      <c r="FG25" s="900">
        <f t="shared" si="112"/>
        <v>2026</v>
      </c>
      <c r="FH25" s="900">
        <f t="shared" si="113"/>
        <v>2025</v>
      </c>
      <c r="FI25" s="900">
        <f t="shared" si="114"/>
        <v>2026</v>
      </c>
      <c r="FJ25" s="900">
        <f t="shared" si="115"/>
        <v>2025</v>
      </c>
      <c r="FK25" s="900">
        <f t="shared" si="116"/>
        <v>2026</v>
      </c>
      <c r="FL25" s="900">
        <f t="shared" si="117"/>
        <v>2025</v>
      </c>
      <c r="FM25" s="310"/>
      <c r="FN25" s="1577"/>
      <c r="FO25" s="242"/>
      <c r="FP25" s="902"/>
      <c r="FQ25" s="2031"/>
      <c r="FR25" s="902"/>
      <c r="FS25" s="2031"/>
      <c r="FT25" s="902"/>
      <c r="FU25" s="2031"/>
      <c r="FV25" s="243"/>
      <c r="FW25" s="902"/>
      <c r="FX25" s="2031"/>
      <c r="FY25" s="902"/>
      <c r="FZ25" s="2031"/>
      <c r="GA25" s="908"/>
      <c r="GB25" s="2032"/>
      <c r="GC25" s="310"/>
      <c r="GD25" s="1577"/>
      <c r="GE25" s="242"/>
      <c r="GF25" s="2341"/>
      <c r="GG25" s="2342"/>
      <c r="GH25" s="2341"/>
      <c r="GI25" s="2342"/>
      <c r="GJ25" s="908"/>
      <c r="GK25" s="2032"/>
      <c r="GL25" s="242"/>
      <c r="GM25" s="2341"/>
      <c r="GN25" s="2342"/>
      <c r="GO25" s="2341"/>
      <c r="GP25" s="2342"/>
      <c r="GQ25" s="908"/>
      <c r="GR25" s="2032"/>
      <c r="GS25" s="242"/>
      <c r="GT25" s="242"/>
      <c r="GU25" s="242"/>
      <c r="GV25" s="242"/>
      <c r="GW25" s="242"/>
      <c r="GX25" s="242"/>
      <c r="GY25" s="242"/>
      <c r="GZ25" s="242"/>
      <c r="HA25" s="242"/>
      <c r="HB25" s="242"/>
      <c r="HC25" s="242"/>
      <c r="HD25" s="242"/>
      <c r="HE25" s="242"/>
      <c r="HF25" s="242"/>
      <c r="HG25" s="242"/>
      <c r="HH25" s="242"/>
      <c r="HI25" s="242"/>
      <c r="HJ25" s="242"/>
      <c r="HK25" s="1986"/>
      <c r="HL25" s="1987"/>
      <c r="HM25" s="1987"/>
      <c r="HN25" s="1987"/>
      <c r="HO25" s="1987"/>
      <c r="HP25" s="1999"/>
      <c r="HQ25" s="310"/>
      <c r="HR25" s="310"/>
      <c r="HS25" s="310"/>
      <c r="HT25" s="310"/>
      <c r="HU25" s="310"/>
      <c r="HV25" s="310"/>
      <c r="HW25" s="310"/>
      <c r="HX25" s="310"/>
      <c r="HY25" s="310"/>
      <c r="HZ25" s="892"/>
      <c r="IA25" s="2030"/>
      <c r="IB25" s="1986"/>
      <c r="IC25" s="1986"/>
      <c r="ID25" s="1987"/>
      <c r="IE25" s="1987"/>
      <c r="IF25" s="1987"/>
      <c r="IG25" s="1987"/>
      <c r="IJ25" s="1678">
        <f t="shared" ref="IJ25:IJ48" si="173">IF(IN25=BP25,0,1)</f>
        <v>0</v>
      </c>
      <c r="IK25" s="264">
        <f>IK23+1</f>
        <v>15</v>
      </c>
      <c r="IL25" s="242"/>
      <c r="IM25" s="242"/>
      <c r="IN25" s="1187" t="str">
        <f t="shared" si="133"/>
        <v>Rörelseresultat</v>
      </c>
      <c r="IO25" s="1696"/>
      <c r="IP25" s="1696"/>
      <c r="IQ25" s="1696"/>
      <c r="IR25" s="242"/>
      <c r="IS25" s="242"/>
      <c r="IT25" s="1678">
        <f t="shared" ref="IT25:IT57" si="174">IF(IX25=CI25,0,1)</f>
        <v>0</v>
      </c>
      <c r="IU25" s="264">
        <f>IU23+1</f>
        <v>15</v>
      </c>
      <c r="IV25" s="242"/>
      <c r="IW25" s="242"/>
      <c r="IX25" s="1187" t="s">
        <v>294</v>
      </c>
      <c r="IY25" s="1187"/>
      <c r="IZ25" s="1235">
        <f>SUM(IZ19,IZ21:IZ24)</f>
        <v>92.400000000000105</v>
      </c>
      <c r="JA25" s="1696">
        <f t="shared" si="86"/>
        <v>-25.227143999999996</v>
      </c>
      <c r="JB25" s="1235">
        <f t="shared" si="134"/>
        <v>67.17285600000011</v>
      </c>
      <c r="JC25" s="242"/>
      <c r="JD25" s="242"/>
      <c r="JE25" s="242"/>
      <c r="JF25" s="1187" t="str">
        <f t="shared" si="135"/>
        <v>Rörelseresultat</v>
      </c>
      <c r="JG25" s="1235">
        <f t="shared" ref="JG25:JG35" si="175">IZ25</f>
        <v>92.400000000000105</v>
      </c>
      <c r="JH25" s="1696">
        <f t="shared" si="147"/>
        <v>-25.227143999999996</v>
      </c>
      <c r="JI25" s="1235">
        <f t="shared" ref="JI25:JI35" si="176">JB25</f>
        <v>67.17285600000011</v>
      </c>
      <c r="JJ25" s="242"/>
      <c r="JK25" s="242"/>
      <c r="JL25" s="242"/>
      <c r="JM25" s="1187" t="s">
        <v>298</v>
      </c>
      <c r="JN25" s="1235">
        <f t="shared" si="87"/>
        <v>92.400000000000105</v>
      </c>
      <c r="JO25" s="1696">
        <f t="shared" si="148"/>
        <v>-25.227143999999996</v>
      </c>
      <c r="JP25" s="1235">
        <f t="shared" si="88"/>
        <v>67.17285600000011</v>
      </c>
      <c r="JQ25" s="242"/>
    </row>
    <row r="26" spans="2:2045 2050:3071 3076:5117 5122:6143 6148:8189 8194:9215 9220:11261 11266:12287 12292:14333 14338:15359 15364:16379" s="269" customFormat="1" ht="0.75" customHeight="1" outlineLevel="1" x14ac:dyDescent="0.2">
      <c r="B26" s="264">
        <f t="shared" si="27"/>
        <v>17</v>
      </c>
      <c r="D26" s="278" t="str">
        <f>+[2]rapkvart!$B16</f>
        <v>Finansiella intäkter</v>
      </c>
      <c r="E26" s="309"/>
      <c r="G26" s="1071">
        <f>[2]rapkvart!S16</f>
        <v>0.1</v>
      </c>
      <c r="H26" s="1071">
        <f>[2]rapkvart!T16</f>
        <v>2.2999999999999998</v>
      </c>
      <c r="I26" s="1071">
        <f>[2]rapkvart!U16</f>
        <v>4</v>
      </c>
      <c r="J26" s="1071">
        <f>[2]rapkvart!V16</f>
        <v>3.7</v>
      </c>
      <c r="K26" s="1071">
        <f>[2]rapkvart!O16</f>
        <v>0.4</v>
      </c>
      <c r="L26" s="1071">
        <f>[2]rapkvart!P16</f>
        <v>0.6</v>
      </c>
      <c r="M26" s="1071">
        <f>[2]rapkvart!Q16</f>
        <v>0.7</v>
      </c>
      <c r="N26" s="1071">
        <f>[2]rapkvart!R16</f>
        <v>2.2000000000000002</v>
      </c>
      <c r="O26" s="1071">
        <f>[2]rapkvart!K16</f>
        <v>0.4</v>
      </c>
      <c r="P26" s="1071">
        <f>[2]rapkvart!L16</f>
        <v>0.6</v>
      </c>
      <c r="Q26" s="1071">
        <f>[2]rapkvart!M16</f>
        <v>0.7</v>
      </c>
      <c r="R26" s="1071">
        <f>[2]rapkvart!N16</f>
        <v>2.2000000000000002</v>
      </c>
      <c r="S26" s="1072"/>
      <c r="T26" s="1073">
        <f>[2]rapkvart!AE16</f>
        <v>0.1</v>
      </c>
      <c r="U26" s="1073">
        <f>[2]rapkvart!AF16</f>
        <v>2.1999999999999997</v>
      </c>
      <c r="V26" s="1073">
        <f>[2]rapkvart!AG16</f>
        <v>1.7000000000000002</v>
      </c>
      <c r="W26" s="1073">
        <f>[2]rapkvart!AH16</f>
        <v>-0.29999999999999982</v>
      </c>
      <c r="X26" s="1073">
        <f>[2]rapkvart!AA16</f>
        <v>0.4</v>
      </c>
      <c r="Y26" s="1073">
        <f>[2]rapkvart!AB16</f>
        <v>0.19999999999999996</v>
      </c>
      <c r="Z26" s="1073">
        <f>[2]rapkvart!AC16</f>
        <v>9.9999999999999978E-2</v>
      </c>
      <c r="AA26" s="1073">
        <f>[2]rapkvart!AD16</f>
        <v>1.5000000000000002</v>
      </c>
      <c r="AB26" s="1073">
        <f>[2]rapkvart!W16</f>
        <v>0.4</v>
      </c>
      <c r="AC26" s="1073">
        <f>[2]rapkvart!X16</f>
        <v>0.19999999999999996</v>
      </c>
      <c r="AD26" s="1073">
        <f>[2]rapkvart!Y16</f>
        <v>9.9999999999999978E-2</v>
      </c>
      <c r="AE26" s="1073">
        <f>[2]rapkvart!Z16</f>
        <v>1.5000000000000002</v>
      </c>
      <c r="AV26" s="1689" t="str">
        <f t="shared" si="28"/>
        <v>Finansiella intäkter</v>
      </c>
      <c r="AW26" s="1683"/>
      <c r="AX26" s="1688">
        <f t="shared" ref="AX26:AX35" si="177">$AC26</f>
        <v>0.19999999999999996</v>
      </c>
      <c r="AY26" s="1687">
        <f t="shared" ref="AY26:AY35" si="178">$Y26</f>
        <v>0.19999999999999996</v>
      </c>
      <c r="AZ26" s="1688">
        <f t="shared" ref="AZ26:AZ35" si="179">P26</f>
        <v>0.6</v>
      </c>
      <c r="BA26" s="1687">
        <f t="shared" ref="BA26:BA35" si="180">L26</f>
        <v>0.6</v>
      </c>
      <c r="BB26" s="1688">
        <f t="shared" ref="BB26:BB35" si="181">SUM(Z26:AC26)</f>
        <v>2.2000000000000002</v>
      </c>
      <c r="BC26" s="1687">
        <f t="shared" ref="BC26:BC35" si="182">N26</f>
        <v>2.2000000000000002</v>
      </c>
      <c r="BE26" s="278" t="s">
        <v>299</v>
      </c>
      <c r="BF26" s="309"/>
      <c r="BG26" s="1197">
        <f t="shared" ref="BG26:BG35" si="183">AX26</f>
        <v>0.19999999999999996</v>
      </c>
      <c r="BH26" s="1198">
        <f t="shared" ref="BH26:BH35" si="184">AY26</f>
        <v>0.19999999999999996</v>
      </c>
      <c r="BI26" s="1197">
        <f t="shared" ref="BI26:BI35" si="185">AZ26</f>
        <v>0.6</v>
      </c>
      <c r="BJ26" s="1198">
        <f t="shared" ref="BJ26:BJ35" si="186">BA26</f>
        <v>0.6</v>
      </c>
      <c r="BK26" s="1197">
        <f t="shared" ref="BK26:BK35" si="187">BB26</f>
        <v>2.2000000000000002</v>
      </c>
      <c r="BL26" s="1198">
        <f t="shared" ref="BL26:BL35" si="188">BC26</f>
        <v>2.2000000000000002</v>
      </c>
      <c r="BN26" s="242"/>
      <c r="BP26" s="336" t="str">
        <f t="shared" si="119"/>
        <v>Finansiella intäkter</v>
      </c>
      <c r="BQ26" s="976"/>
      <c r="BR26" s="977"/>
      <c r="BS26" s="977"/>
      <c r="BT26" s="977"/>
      <c r="BU26" s="977"/>
      <c r="BV26" s="977"/>
      <c r="BW26" s="977"/>
      <c r="BX26" s="977"/>
      <c r="BY26" s="977"/>
      <c r="BZ26" s="977"/>
      <c r="CA26" s="977"/>
      <c r="CB26" s="336"/>
      <c r="CE26" s="1288">
        <f t="shared" si="171"/>
        <v>0</v>
      </c>
      <c r="CF26" s="281">
        <f t="shared" si="36"/>
        <v>16</v>
      </c>
      <c r="CH26" s="1608"/>
      <c r="CI26" s="1017" t="s">
        <v>300</v>
      </c>
      <c r="CJ26" s="1018"/>
      <c r="CK26" s="1278">
        <f t="shared" ref="CK26:CV27" si="189">T26+BQ26</f>
        <v>0.1</v>
      </c>
      <c r="CL26" s="1278">
        <f t="shared" si="189"/>
        <v>2.1999999999999997</v>
      </c>
      <c r="CM26" s="1278">
        <f t="shared" si="189"/>
        <v>1.7000000000000002</v>
      </c>
      <c r="CN26" s="1278">
        <f t="shared" si="189"/>
        <v>-0.29999999999999982</v>
      </c>
      <c r="CO26" s="1278">
        <f t="shared" si="189"/>
        <v>0.4</v>
      </c>
      <c r="CP26" s="1278">
        <f t="shared" si="189"/>
        <v>0.19999999999999996</v>
      </c>
      <c r="CQ26" s="1278">
        <f t="shared" si="189"/>
        <v>9.9999999999999978E-2</v>
      </c>
      <c r="CR26" s="1278">
        <f t="shared" si="189"/>
        <v>1.5000000000000002</v>
      </c>
      <c r="CS26" s="1278">
        <f t="shared" si="189"/>
        <v>0.4</v>
      </c>
      <c r="CT26" s="1278">
        <f t="shared" si="189"/>
        <v>0.19999999999999996</v>
      </c>
      <c r="CU26" s="1278">
        <f t="shared" si="189"/>
        <v>9.9999999999999978E-2</v>
      </c>
      <c r="CV26" s="1278">
        <f t="shared" si="189"/>
        <v>1.5000000000000002</v>
      </c>
      <c r="CW26" s="369"/>
      <c r="CX26" s="369"/>
      <c r="CY26" s="369"/>
      <c r="CZ26" s="369"/>
      <c r="DA26" s="369"/>
      <c r="DB26" s="369"/>
      <c r="DC26" s="369"/>
      <c r="DD26" s="369"/>
      <c r="DE26" s="369"/>
      <c r="DF26" s="369"/>
      <c r="DG26" s="369"/>
      <c r="DH26" s="369"/>
      <c r="DI26" s="369"/>
      <c r="DJ26" s="244"/>
      <c r="DK26" s="1638" t="str">
        <f t="shared" si="73"/>
        <v>Finansiella intäkter</v>
      </c>
      <c r="DL26" s="1621">
        <f t="shared" si="38"/>
        <v>0</v>
      </c>
      <c r="DM26" s="1621">
        <f t="shared" si="39"/>
        <v>0</v>
      </c>
      <c r="DN26" s="1621">
        <f t="shared" si="40"/>
        <v>0</v>
      </c>
      <c r="DO26" s="1621">
        <f t="shared" si="41"/>
        <v>0</v>
      </c>
      <c r="DP26" s="1621">
        <f t="shared" si="42"/>
        <v>0</v>
      </c>
      <c r="DQ26" s="1621">
        <f t="shared" si="43"/>
        <v>0</v>
      </c>
      <c r="DR26" s="1621">
        <f t="shared" si="44"/>
        <v>0</v>
      </c>
      <c r="DS26" s="1621">
        <f t="shared" si="45"/>
        <v>0</v>
      </c>
      <c r="DT26" s="1621">
        <f t="shared" si="46"/>
        <v>0</v>
      </c>
      <c r="DU26" s="1654">
        <f t="shared" si="47"/>
        <v>0</v>
      </c>
      <c r="DV26" s="1621">
        <f t="shared" si="48"/>
        <v>0</v>
      </c>
      <c r="DW26" s="1621">
        <f t="shared" si="49"/>
        <v>0</v>
      </c>
      <c r="DX26" s="244"/>
      <c r="DY26" s="1183" t="str">
        <f t="shared" si="121"/>
        <v>Finansiella intäkter</v>
      </c>
      <c r="DZ26" s="1182"/>
      <c r="EA26" s="1232">
        <f t="shared" si="122"/>
        <v>0.19999999999999996</v>
      </c>
      <c r="EB26" s="1233">
        <f t="shared" si="123"/>
        <v>0.19999999999999996</v>
      </c>
      <c r="EC26" s="1232">
        <f t="shared" si="124"/>
        <v>0.6</v>
      </c>
      <c r="ED26" s="1233">
        <f t="shared" si="125"/>
        <v>0.6</v>
      </c>
      <c r="EE26" s="1232">
        <f t="shared" si="126"/>
        <v>2.2000000000000002</v>
      </c>
      <c r="EF26" s="1233">
        <f t="shared" si="127"/>
        <v>2.2000000000000002</v>
      </c>
      <c r="EH26" s="242"/>
      <c r="EI26" s="242"/>
      <c r="EK26" s="1183" t="s">
        <v>299</v>
      </c>
      <c r="EL26" s="1182"/>
      <c r="EM26" s="1232">
        <f t="shared" si="74"/>
        <v>0.19999999999999996</v>
      </c>
      <c r="EN26" s="1233">
        <f t="shared" si="75"/>
        <v>0.19999999999999996</v>
      </c>
      <c r="EO26" s="1232">
        <f t="shared" si="76"/>
        <v>0.6</v>
      </c>
      <c r="EP26" s="1233">
        <f t="shared" si="77"/>
        <v>0.6</v>
      </c>
      <c r="EQ26" s="1232">
        <f t="shared" si="78"/>
        <v>2.2000000000000002</v>
      </c>
      <c r="ER26" s="1233">
        <f t="shared" si="79"/>
        <v>2.2000000000000002</v>
      </c>
      <c r="ET26" s="242"/>
      <c r="EU26" s="242"/>
      <c r="EV26" s="242"/>
      <c r="EW26" s="899"/>
      <c r="EX26" s="900">
        <f>EX$11</f>
        <v>2026</v>
      </c>
      <c r="EY26" s="900">
        <f t="shared" ref="EY26:FC26" si="190">EY$11</f>
        <v>2025</v>
      </c>
      <c r="EZ26" s="900">
        <f>EZ$11</f>
        <v>2026</v>
      </c>
      <c r="FA26" s="900">
        <f t="shared" ref="FA26" si="191">FA$11</f>
        <v>2025</v>
      </c>
      <c r="FB26" s="900">
        <f t="shared" si="190"/>
        <v>2026</v>
      </c>
      <c r="FC26" s="900">
        <f t="shared" si="190"/>
        <v>2025</v>
      </c>
      <c r="FD26" s="310"/>
      <c r="FE26" s="310"/>
      <c r="FF26" s="914" t="s">
        <v>295</v>
      </c>
      <c r="FG26" s="908">
        <f t="shared" si="112"/>
        <v>1561.7767750203129</v>
      </c>
      <c r="FH26" s="909">
        <f t="shared" si="113"/>
        <v>1418.9217061328227</v>
      </c>
      <c r="FI26" s="908">
        <f t="shared" si="114"/>
        <v>1561.7767750203129</v>
      </c>
      <c r="FJ26" s="909">
        <f t="shared" si="115"/>
        <v>1418.9217061328227</v>
      </c>
      <c r="FK26" s="2032">
        <f t="shared" si="116"/>
        <v>1561.7767750203129</v>
      </c>
      <c r="FL26" s="908">
        <f t="shared" si="117"/>
        <v>1446.5621087588877</v>
      </c>
      <c r="FM26" s="310"/>
      <c r="FN26" s="2155" t="str">
        <f>EW27</f>
        <v>Eget kapital hänförligt till moderbolagets aktieägare, Mkr</v>
      </c>
      <c r="FO26" s="242"/>
      <c r="FP26" s="2163">
        <f t="shared" ref="FP26:FU27" si="192">_xlfn.XLOOKUP($FN26,$EW$18:$EW$29,EX$18:EX$29,,,)</f>
        <v>1561.7767750203129</v>
      </c>
      <c r="FQ26" s="2164">
        <f t="shared" si="192"/>
        <v>1418.9217061328227</v>
      </c>
      <c r="FR26" s="2163">
        <f t="shared" si="192"/>
        <v>1561.7767750203129</v>
      </c>
      <c r="FS26" s="2164">
        <f t="shared" si="192"/>
        <v>1418.9217061328227</v>
      </c>
      <c r="FT26" s="2163">
        <f t="shared" si="192"/>
        <v>1561.7767750203129</v>
      </c>
      <c r="FU26" s="2164">
        <f t="shared" si="192"/>
        <v>1446.5621087588877</v>
      </c>
      <c r="FV26" s="2235"/>
      <c r="FW26" s="2163">
        <f t="shared" ref="FW26:GB27" si="193">_xlfn.XLOOKUP($FN26,$EW$33:$EW$44,EX$33:EX$44,,,)</f>
        <v>794.7</v>
      </c>
      <c r="FX26" s="2164">
        <f t="shared" si="193"/>
        <v>681.69999999999993</v>
      </c>
      <c r="FY26" s="2163">
        <f t="shared" si="193"/>
        <v>794.7</v>
      </c>
      <c r="FZ26" s="2164">
        <f t="shared" si="193"/>
        <v>681.69999999999993</v>
      </c>
      <c r="GA26" s="2159">
        <f t="shared" si="193"/>
        <v>794.7</v>
      </c>
      <c r="GB26" s="2160">
        <f t="shared" si="193"/>
        <v>698.8</v>
      </c>
      <c r="GC26" s="310"/>
      <c r="GD26" s="1577" t="s">
        <v>295</v>
      </c>
      <c r="GE26" s="242"/>
      <c r="GF26" s="2339">
        <f t="shared" ref="GF26:GK27" si="194">FP26</f>
        <v>1561.7767750203129</v>
      </c>
      <c r="GG26" s="2340">
        <f t="shared" si="194"/>
        <v>1418.9217061328227</v>
      </c>
      <c r="GH26" s="2339">
        <f t="shared" si="194"/>
        <v>1561.7767750203129</v>
      </c>
      <c r="GI26" s="2340">
        <f t="shared" si="194"/>
        <v>1418.9217061328227</v>
      </c>
      <c r="GJ26" s="908">
        <f t="shared" si="194"/>
        <v>1561.7767750203129</v>
      </c>
      <c r="GK26" s="2032">
        <f t="shared" si="194"/>
        <v>1446.5621087588877</v>
      </c>
      <c r="GL26" s="242"/>
      <c r="GM26" s="2339">
        <f t="shared" ref="GM26:GR27" si="195">FW26</f>
        <v>794.7</v>
      </c>
      <c r="GN26" s="2340">
        <f t="shared" si="195"/>
        <v>681.69999999999993</v>
      </c>
      <c r="GO26" s="2339">
        <f t="shared" si="195"/>
        <v>794.7</v>
      </c>
      <c r="GP26" s="2340">
        <f t="shared" si="195"/>
        <v>681.69999999999993</v>
      </c>
      <c r="GQ26" s="908">
        <f t="shared" si="195"/>
        <v>794.7</v>
      </c>
      <c r="GR26" s="2032">
        <f t="shared" si="195"/>
        <v>698.8</v>
      </c>
      <c r="GS26" s="242"/>
      <c r="GT26" s="242"/>
      <c r="GU26" s="242"/>
      <c r="GV26" s="242"/>
      <c r="GW26" s="242"/>
      <c r="GX26" s="242"/>
      <c r="GY26" s="242"/>
      <c r="GZ26" s="242"/>
      <c r="HA26" s="242"/>
      <c r="HB26" s="242"/>
      <c r="HC26" s="242"/>
      <c r="HD26" s="242"/>
      <c r="HE26" s="242"/>
      <c r="HF26" s="242"/>
      <c r="HG26" s="242"/>
      <c r="HH26" s="242"/>
      <c r="HI26" s="242"/>
      <c r="HJ26" s="242"/>
      <c r="HK26" s="1986"/>
      <c r="HL26" s="1986"/>
      <c r="HM26" s="1986"/>
      <c r="HN26" s="1986"/>
      <c r="HO26" s="1986"/>
      <c r="HP26" s="1999"/>
      <c r="HQ26" s="310"/>
      <c r="HR26" s="310"/>
      <c r="HS26" s="310"/>
      <c r="HT26" s="310"/>
      <c r="HU26" s="310"/>
      <c r="HV26" s="310"/>
      <c r="HW26" s="310"/>
      <c r="HX26" s="310"/>
      <c r="HY26" s="310"/>
      <c r="HZ26" s="892"/>
      <c r="IA26" s="1990"/>
      <c r="IB26" s="1986"/>
      <c r="IC26" s="1986"/>
      <c r="ID26" s="1986"/>
      <c r="IE26" s="1986"/>
      <c r="IF26" s="1986"/>
      <c r="IG26" s="1986"/>
      <c r="IJ26" s="1678">
        <f t="shared" si="173"/>
        <v>0</v>
      </c>
      <c r="IK26" s="264">
        <f t="shared" si="23"/>
        <v>16</v>
      </c>
      <c r="IL26" s="242"/>
      <c r="IM26" s="242"/>
      <c r="IN26" s="1183" t="str">
        <f t="shared" si="133"/>
        <v>Finansiella intäkter</v>
      </c>
      <c r="IO26" s="1242"/>
      <c r="IP26" s="1242"/>
      <c r="IQ26" s="1242"/>
      <c r="IR26" s="242"/>
      <c r="IS26" s="242"/>
      <c r="IT26" s="1678">
        <f t="shared" si="174"/>
        <v>0</v>
      </c>
      <c r="IU26" s="264">
        <f t="shared" si="24"/>
        <v>16</v>
      </c>
      <c r="IV26" s="242"/>
      <c r="IW26" s="242"/>
      <c r="IX26" s="1183" t="s">
        <v>300</v>
      </c>
      <c r="IY26" s="1183"/>
      <c r="IZ26" s="1232">
        <f>AX26</f>
        <v>0.19999999999999996</v>
      </c>
      <c r="JA26" s="1242">
        <f t="shared" si="86"/>
        <v>0</v>
      </c>
      <c r="JB26" s="1232">
        <f t="shared" si="134"/>
        <v>0.19999999999999996</v>
      </c>
      <c r="JC26" s="242"/>
      <c r="JD26" s="242"/>
      <c r="JE26" s="242"/>
      <c r="JF26" s="1183" t="str">
        <f t="shared" si="135"/>
        <v>Finansiella intäkter</v>
      </c>
      <c r="JG26" s="1232">
        <f t="shared" si="175"/>
        <v>0.19999999999999996</v>
      </c>
      <c r="JH26" s="1242"/>
      <c r="JI26" s="1232">
        <f t="shared" si="176"/>
        <v>0.19999999999999996</v>
      </c>
      <c r="JJ26" s="242"/>
      <c r="JK26" s="242"/>
      <c r="JL26" s="242"/>
      <c r="JM26" s="1183" t="s">
        <v>299</v>
      </c>
      <c r="JN26" s="1232">
        <f t="shared" si="87"/>
        <v>0.19999999999999996</v>
      </c>
      <c r="JO26" s="1242"/>
      <c r="JP26" s="1232">
        <f t="shared" si="88"/>
        <v>0.19999999999999996</v>
      </c>
      <c r="JQ26" s="242"/>
    </row>
    <row r="27" spans="2:2045 2050:3071 3076:5117 5122:6143 6148:8189 8194:9215 9220:11261 11266:12287 12292:14333 14338:15359 15364:16379" s="269" customFormat="1" outlineLevel="1" x14ac:dyDescent="0.2">
      <c r="B27" s="264">
        <f t="shared" si="27"/>
        <v>18</v>
      </c>
      <c r="D27" s="288" t="str">
        <f>+[2]rapkvart!$B17</f>
        <v>Finansiella kostnader</v>
      </c>
      <c r="E27" s="289">
        <f>[2]rapkvart!$C17</f>
        <v>4</v>
      </c>
      <c r="G27" s="1071">
        <f>[2]rapkvart!S17</f>
        <v>-9.1</v>
      </c>
      <c r="H27" s="1071">
        <f>[2]rapkvart!T17</f>
        <v>-13.8</v>
      </c>
      <c r="I27" s="1071">
        <f>[2]rapkvart!U17</f>
        <v>-25.5</v>
      </c>
      <c r="J27" s="1071">
        <f>[2]rapkvart!V17</f>
        <v>-31.6</v>
      </c>
      <c r="K27" s="1071">
        <f>[2]rapkvart!O17</f>
        <v>1</v>
      </c>
      <c r="L27" s="1071">
        <f>[2]rapkvart!P17</f>
        <v>-5</v>
      </c>
      <c r="M27" s="1071">
        <f>[2]rapkvart!Q17</f>
        <v>-7.4</v>
      </c>
      <c r="N27" s="1071">
        <f>[2]rapkvart!R17</f>
        <v>-9.1</v>
      </c>
      <c r="O27" s="1071">
        <f>[2]rapkvart!K17</f>
        <v>-3.6</v>
      </c>
      <c r="P27" s="1071">
        <f>[2]rapkvart!L17</f>
        <v>-8.1</v>
      </c>
      <c r="Q27" s="1071">
        <f>[2]rapkvart!M17</f>
        <v>-7.4</v>
      </c>
      <c r="R27" s="1071">
        <f>[2]rapkvart!N17</f>
        <v>-9.1</v>
      </c>
      <c r="S27" s="1072"/>
      <c r="T27" s="1073">
        <f>[2]rapkvart!AE17</f>
        <v>-9.1</v>
      </c>
      <c r="U27" s="1073">
        <f>[2]rapkvart!AF17</f>
        <v>-4.7000000000000011</v>
      </c>
      <c r="V27" s="1073">
        <f>[2]rapkvart!AG17</f>
        <v>-11.7</v>
      </c>
      <c r="W27" s="1073">
        <f>[2]rapkvart!AH17</f>
        <v>-6.1000000000000014</v>
      </c>
      <c r="X27" s="1073">
        <f>[2]rapkvart!AA17</f>
        <v>1</v>
      </c>
      <c r="Y27" s="1073">
        <f>[2]rapkvart!AB17</f>
        <v>-6</v>
      </c>
      <c r="Z27" s="1073">
        <f>[2]rapkvart!AC17</f>
        <v>-2.4000000000000004</v>
      </c>
      <c r="AA27" s="1073">
        <f>[2]rapkvart!AD17</f>
        <v>-1.6999999999999993</v>
      </c>
      <c r="AB27" s="1073">
        <f>[2]rapkvart!W17</f>
        <v>-3.6</v>
      </c>
      <c r="AC27" s="1073">
        <f>[2]rapkvart!X17</f>
        <v>-4.5</v>
      </c>
      <c r="AD27" s="1073">
        <f>[2]rapkvart!Y17</f>
        <v>0.69999999999999929</v>
      </c>
      <c r="AE27" s="1073">
        <f>[2]rapkvart!Z17</f>
        <v>-1.6999999999999993</v>
      </c>
      <c r="AV27" s="1686" t="str">
        <f t="shared" si="28"/>
        <v>Finansiella kostnader</v>
      </c>
      <c r="AW27" s="1682"/>
      <c r="AX27" s="1685">
        <f t="shared" si="177"/>
        <v>-4.5</v>
      </c>
      <c r="AY27" s="1684">
        <f t="shared" si="178"/>
        <v>-6</v>
      </c>
      <c r="AZ27" s="1685">
        <f t="shared" si="179"/>
        <v>-8.1</v>
      </c>
      <c r="BA27" s="1684">
        <f t="shared" si="180"/>
        <v>-5</v>
      </c>
      <c r="BB27" s="1685">
        <f t="shared" si="181"/>
        <v>-12.2</v>
      </c>
      <c r="BC27" s="1684">
        <f t="shared" si="182"/>
        <v>-9.1</v>
      </c>
      <c r="BE27" s="288" t="s">
        <v>302</v>
      </c>
      <c r="BF27" s="289"/>
      <c r="BG27" s="1199">
        <f t="shared" si="183"/>
        <v>-4.5</v>
      </c>
      <c r="BH27" s="1200">
        <f t="shared" si="184"/>
        <v>-6</v>
      </c>
      <c r="BI27" s="1199">
        <f t="shared" si="185"/>
        <v>-8.1</v>
      </c>
      <c r="BJ27" s="1200">
        <f t="shared" si="186"/>
        <v>-5</v>
      </c>
      <c r="BK27" s="1199">
        <f t="shared" si="187"/>
        <v>-12.2</v>
      </c>
      <c r="BL27" s="1200">
        <f t="shared" si="188"/>
        <v>-9.1</v>
      </c>
      <c r="BN27" s="242"/>
      <c r="BP27" s="336" t="str">
        <f t="shared" si="119"/>
        <v>Finansiella kostnader</v>
      </c>
      <c r="BQ27" s="976"/>
      <c r="BR27" s="977"/>
      <c r="BS27" s="977"/>
      <c r="BT27" s="977"/>
      <c r="BU27" s="977"/>
      <c r="BV27" s="977"/>
      <c r="BW27" s="977"/>
      <c r="BX27" s="977"/>
      <c r="BY27" s="977"/>
      <c r="BZ27" s="977"/>
      <c r="CA27" s="977"/>
      <c r="CB27" s="336"/>
      <c r="CE27" s="1288">
        <f t="shared" si="171"/>
        <v>0</v>
      </c>
      <c r="CF27" s="281">
        <f t="shared" si="36"/>
        <v>17</v>
      </c>
      <c r="CH27" s="1608"/>
      <c r="CI27" s="1017" t="s">
        <v>303</v>
      </c>
      <c r="CJ27" s="1018"/>
      <c r="CK27" s="1278">
        <f t="shared" si="189"/>
        <v>-9.1</v>
      </c>
      <c r="CL27" s="1278">
        <f t="shared" si="189"/>
        <v>-4.7000000000000011</v>
      </c>
      <c r="CM27" s="1278">
        <f t="shared" si="189"/>
        <v>-11.7</v>
      </c>
      <c r="CN27" s="1278">
        <f t="shared" si="189"/>
        <v>-6.1000000000000014</v>
      </c>
      <c r="CO27" s="1278">
        <f t="shared" si="189"/>
        <v>1</v>
      </c>
      <c r="CP27" s="1278">
        <f t="shared" si="189"/>
        <v>-6</v>
      </c>
      <c r="CQ27" s="1278">
        <f t="shared" si="189"/>
        <v>-2.4000000000000004</v>
      </c>
      <c r="CR27" s="1278">
        <f t="shared" si="189"/>
        <v>-1.6999999999999993</v>
      </c>
      <c r="CS27" s="1278">
        <f t="shared" si="189"/>
        <v>-3.6</v>
      </c>
      <c r="CT27" s="1278">
        <f t="shared" si="189"/>
        <v>-4.5</v>
      </c>
      <c r="CU27" s="1278">
        <f t="shared" si="189"/>
        <v>0.69999999999999929</v>
      </c>
      <c r="CV27" s="1278">
        <f t="shared" si="189"/>
        <v>-1.6999999999999993</v>
      </c>
      <c r="CW27" s="369"/>
      <c r="CX27" s="369"/>
      <c r="CY27" s="369"/>
      <c r="CZ27" s="369"/>
      <c r="DA27" s="369"/>
      <c r="DB27" s="369"/>
      <c r="DC27" s="369"/>
      <c r="DD27" s="369"/>
      <c r="DE27" s="369"/>
      <c r="DF27" s="369"/>
      <c r="DG27" s="369"/>
      <c r="DH27" s="369"/>
      <c r="DI27" s="369"/>
      <c r="DJ27" s="244"/>
      <c r="DK27" s="1639" t="str">
        <f t="shared" si="73"/>
        <v>Finansiella kostnader</v>
      </c>
      <c r="DL27" s="1622">
        <f t="shared" si="38"/>
        <v>0</v>
      </c>
      <c r="DM27" s="1622">
        <f t="shared" si="39"/>
        <v>0</v>
      </c>
      <c r="DN27" s="1622">
        <f t="shared" si="40"/>
        <v>0</v>
      </c>
      <c r="DO27" s="1622">
        <f t="shared" si="41"/>
        <v>0</v>
      </c>
      <c r="DP27" s="1622">
        <f t="shared" si="42"/>
        <v>0</v>
      </c>
      <c r="DQ27" s="1622">
        <f t="shared" si="43"/>
        <v>0</v>
      </c>
      <c r="DR27" s="1622">
        <f t="shared" si="44"/>
        <v>0</v>
      </c>
      <c r="DS27" s="1622">
        <f t="shared" si="45"/>
        <v>0</v>
      </c>
      <c r="DT27" s="1622">
        <f t="shared" si="46"/>
        <v>0</v>
      </c>
      <c r="DU27" s="1655">
        <f t="shared" si="47"/>
        <v>0</v>
      </c>
      <c r="DV27" s="1622">
        <f t="shared" si="48"/>
        <v>0</v>
      </c>
      <c r="DW27" s="1622">
        <f t="shared" si="49"/>
        <v>0</v>
      </c>
      <c r="DX27" s="244"/>
      <c r="DY27" s="1183" t="str">
        <f t="shared" si="121"/>
        <v>Finansiella kostnader</v>
      </c>
      <c r="DZ27" s="1182"/>
      <c r="EA27" s="1232">
        <f t="shared" si="122"/>
        <v>-4.5</v>
      </c>
      <c r="EB27" s="1233">
        <f t="shared" si="123"/>
        <v>-6</v>
      </c>
      <c r="EC27" s="1232">
        <f t="shared" si="124"/>
        <v>-8.1</v>
      </c>
      <c r="ED27" s="1233">
        <f t="shared" si="125"/>
        <v>-5</v>
      </c>
      <c r="EE27" s="1232">
        <f t="shared" si="126"/>
        <v>-12.2</v>
      </c>
      <c r="EF27" s="1233">
        <f t="shared" si="127"/>
        <v>-9.1</v>
      </c>
      <c r="EH27" s="242"/>
      <c r="EI27" s="242"/>
      <c r="EK27" s="1183" t="s">
        <v>302</v>
      </c>
      <c r="EL27" s="1182"/>
      <c r="EM27" s="1232">
        <f t="shared" si="74"/>
        <v>-4.5</v>
      </c>
      <c r="EN27" s="1233">
        <f t="shared" si="75"/>
        <v>-6</v>
      </c>
      <c r="EO27" s="1232">
        <f t="shared" si="76"/>
        <v>-8.1</v>
      </c>
      <c r="EP27" s="1233">
        <f t="shared" si="77"/>
        <v>-5</v>
      </c>
      <c r="EQ27" s="1232">
        <f t="shared" si="78"/>
        <v>-12.2</v>
      </c>
      <c r="ER27" s="1233">
        <f t="shared" si="79"/>
        <v>-9.1</v>
      </c>
      <c r="ET27" s="242"/>
      <c r="EU27" s="242"/>
      <c r="EV27" s="242"/>
      <c r="EW27" s="2156" t="s">
        <v>34</v>
      </c>
      <c r="EX27" s="908">
        <f t="shared" ref="EX27:FC27" si="196">HJ41</f>
        <v>1561.7767750203129</v>
      </c>
      <c r="EY27" s="909">
        <f t="shared" si="196"/>
        <v>1418.9217061328227</v>
      </c>
      <c r="EZ27" s="908">
        <f t="shared" si="196"/>
        <v>1561.7767750203129</v>
      </c>
      <c r="FA27" s="909">
        <f t="shared" si="196"/>
        <v>1418.9217061328227</v>
      </c>
      <c r="FB27" s="2032">
        <f t="shared" si="196"/>
        <v>1561.7767750203129</v>
      </c>
      <c r="FC27" s="908">
        <f t="shared" si="196"/>
        <v>1446.5621087588877</v>
      </c>
      <c r="FD27" s="310"/>
      <c r="FE27" s="310"/>
      <c r="FF27" s="914" t="s">
        <v>301</v>
      </c>
      <c r="FG27" s="908">
        <f t="shared" si="112"/>
        <v>211.07943979190605</v>
      </c>
      <c r="FH27" s="909">
        <f t="shared" si="113"/>
        <v>191.77209165195603</v>
      </c>
      <c r="FI27" s="908">
        <f t="shared" si="114"/>
        <v>211.07943979190605</v>
      </c>
      <c r="FJ27" s="909">
        <f t="shared" si="115"/>
        <v>191.77209165195603</v>
      </c>
      <c r="FK27" s="2032">
        <f t="shared" si="116"/>
        <v>211.07943979190605</v>
      </c>
      <c r="FL27" s="908">
        <f t="shared" si="117"/>
        <v>195.50778601958208</v>
      </c>
      <c r="FM27" s="310"/>
      <c r="FN27" s="2155" t="str">
        <f>EW28</f>
        <v>Eget kapital per aktie, kr</v>
      </c>
      <c r="FO27" s="242"/>
      <c r="FP27" s="2163">
        <f t="shared" si="192"/>
        <v>211.07943979190605</v>
      </c>
      <c r="FQ27" s="2164">
        <f t="shared" si="192"/>
        <v>191.77209165195603</v>
      </c>
      <c r="FR27" s="2163">
        <f t="shared" si="192"/>
        <v>211.07943979190605</v>
      </c>
      <c r="FS27" s="2164">
        <f t="shared" si="192"/>
        <v>191.77209165195603</v>
      </c>
      <c r="FT27" s="2163">
        <f t="shared" si="192"/>
        <v>211.07943979190605</v>
      </c>
      <c r="FU27" s="2164">
        <f t="shared" si="192"/>
        <v>195.50778601958208</v>
      </c>
      <c r="FV27" s="2235"/>
      <c r="FW27" s="2163">
        <f t="shared" si="193"/>
        <v>107.40640627111772</v>
      </c>
      <c r="FX27" s="2164">
        <f t="shared" si="193"/>
        <v>92.134072171915122</v>
      </c>
      <c r="FY27" s="2163">
        <f t="shared" si="193"/>
        <v>107.40640627111772</v>
      </c>
      <c r="FZ27" s="2164">
        <f t="shared" si="193"/>
        <v>92.134072171915122</v>
      </c>
      <c r="GA27" s="2159">
        <f t="shared" si="193"/>
        <v>107.40640627111772</v>
      </c>
      <c r="GB27" s="2160">
        <f t="shared" si="193"/>
        <v>94.445195296661709</v>
      </c>
      <c r="GC27" s="310"/>
      <c r="GD27" s="1577" t="s">
        <v>379</v>
      </c>
      <c r="GE27" s="242"/>
      <c r="GF27" s="2339">
        <f t="shared" si="194"/>
        <v>211.07943979190605</v>
      </c>
      <c r="GG27" s="2340">
        <f t="shared" si="194"/>
        <v>191.77209165195603</v>
      </c>
      <c r="GH27" s="2339">
        <f t="shared" si="194"/>
        <v>211.07943979190605</v>
      </c>
      <c r="GI27" s="2340">
        <f t="shared" si="194"/>
        <v>191.77209165195603</v>
      </c>
      <c r="GJ27" s="908">
        <f t="shared" si="194"/>
        <v>211.07943979190605</v>
      </c>
      <c r="GK27" s="2032">
        <f t="shared" si="194"/>
        <v>195.50778601958208</v>
      </c>
      <c r="GL27" s="242"/>
      <c r="GM27" s="2339">
        <f t="shared" si="195"/>
        <v>107.40640627111772</v>
      </c>
      <c r="GN27" s="2340">
        <f t="shared" si="195"/>
        <v>92.134072171915122</v>
      </c>
      <c r="GO27" s="2339">
        <f t="shared" si="195"/>
        <v>107.40640627111772</v>
      </c>
      <c r="GP27" s="2340">
        <f t="shared" si="195"/>
        <v>92.134072171915122</v>
      </c>
      <c r="GQ27" s="908">
        <f t="shared" si="195"/>
        <v>107.40640627111772</v>
      </c>
      <c r="GR27" s="2032">
        <f t="shared" si="195"/>
        <v>94.445195296661709</v>
      </c>
      <c r="GS27" s="242"/>
      <c r="GT27" s="242"/>
      <c r="GU27" s="2014"/>
      <c r="GV27" s="242"/>
      <c r="GW27" s="2026"/>
      <c r="GX27" s="2026"/>
      <c r="GY27" s="2026"/>
      <c r="GZ27" s="2026"/>
      <c r="HA27" s="2026"/>
      <c r="HB27" s="2026"/>
      <c r="HC27" s="2026"/>
      <c r="HD27" s="2026"/>
      <c r="HE27" s="2026"/>
      <c r="HF27" s="2026"/>
      <c r="HG27" s="2026"/>
      <c r="HH27" s="2026"/>
      <c r="HJ27" s="2015" t="str">
        <f t="shared" ref="HJ27:HO27" si="197">HJ$10</f>
        <v>Kvartal 2</v>
      </c>
      <c r="HK27" s="2015" t="str">
        <f t="shared" si="197"/>
        <v>Kvartal 2</v>
      </c>
      <c r="HL27" s="2015" t="str">
        <f t="shared" si="197"/>
        <v>Kvartal 1-2</v>
      </c>
      <c r="HM27" s="2015" t="str">
        <f t="shared" si="197"/>
        <v>Kvartal 1-2</v>
      </c>
      <c r="HN27" s="2015" t="str">
        <f t="shared" si="197"/>
        <v>Kvartal 2, R12</v>
      </c>
      <c r="HO27" s="2016" t="str">
        <f t="shared" si="197"/>
        <v>Helår</v>
      </c>
      <c r="HP27" s="2003"/>
      <c r="HQ27" s="310"/>
      <c r="HR27" s="310"/>
      <c r="HS27" s="310"/>
      <c r="HT27" s="310"/>
      <c r="HU27" s="310"/>
      <c r="HV27" s="310"/>
      <c r="HW27" s="310"/>
      <c r="HX27" s="310"/>
      <c r="HY27" s="310"/>
      <c r="HZ27" s="892"/>
      <c r="IA27" s="2014"/>
      <c r="IB27" s="2015" t="str">
        <f>IB$10</f>
        <v>Q2</v>
      </c>
      <c r="IC27" s="2015" t="str">
        <f t="shared" ref="IC27:IG27" si="198">IC$10</f>
        <v>Q2</v>
      </c>
      <c r="ID27" s="2015" t="str">
        <f t="shared" si="198"/>
        <v>Q1-Q2</v>
      </c>
      <c r="IE27" s="2015" t="str">
        <f t="shared" si="198"/>
        <v>Q1-Q2</v>
      </c>
      <c r="IF27" s="2015" t="str">
        <f t="shared" si="198"/>
        <v>Q2, R12</v>
      </c>
      <c r="IG27" s="2016" t="str">
        <f t="shared" si="198"/>
        <v>Full Year</v>
      </c>
      <c r="IH27" s="1148"/>
      <c r="IJ27" s="1678">
        <f t="shared" si="173"/>
        <v>0</v>
      </c>
      <c r="IK27" s="264">
        <f t="shared" si="23"/>
        <v>17</v>
      </c>
      <c r="IL27" s="242"/>
      <c r="IM27" s="242"/>
      <c r="IN27" s="1183" t="str">
        <f t="shared" si="133"/>
        <v>Finansiella kostnader</v>
      </c>
      <c r="IO27" s="1242"/>
      <c r="IP27" s="1242"/>
      <c r="IQ27" s="1242"/>
      <c r="IR27" s="242"/>
      <c r="IS27" s="242"/>
      <c r="IT27" s="1678">
        <f t="shared" si="174"/>
        <v>0</v>
      </c>
      <c r="IU27" s="264">
        <f t="shared" si="24"/>
        <v>17</v>
      </c>
      <c r="IV27" s="242"/>
      <c r="IW27" s="242"/>
      <c r="IX27" s="1183" t="s">
        <v>303</v>
      </c>
      <c r="IY27" s="1183"/>
      <c r="IZ27" s="1232">
        <f>AX27</f>
        <v>-4.5</v>
      </c>
      <c r="JA27" s="1242">
        <f t="shared" si="86"/>
        <v>0</v>
      </c>
      <c r="JB27" s="1232">
        <f t="shared" si="134"/>
        <v>-4.5</v>
      </c>
      <c r="JC27" s="242"/>
      <c r="JD27" s="242"/>
      <c r="JE27" s="242"/>
      <c r="JF27" s="1183" t="str">
        <f t="shared" si="135"/>
        <v>Finansiella kostnader</v>
      </c>
      <c r="JG27" s="1232">
        <f t="shared" si="175"/>
        <v>-4.5</v>
      </c>
      <c r="JH27" s="1242"/>
      <c r="JI27" s="1232">
        <f t="shared" si="176"/>
        <v>-4.5</v>
      </c>
      <c r="JJ27" s="242"/>
      <c r="JK27" s="242"/>
      <c r="JL27" s="242"/>
      <c r="JM27" s="1183" t="s">
        <v>302</v>
      </c>
      <c r="JN27" s="1232">
        <f t="shared" si="87"/>
        <v>-4.5</v>
      </c>
      <c r="JO27" s="1242"/>
      <c r="JP27" s="1232">
        <f t="shared" si="88"/>
        <v>-4.5</v>
      </c>
      <c r="JQ27" s="242"/>
    </row>
    <row r="28" spans="2:2045 2050:3071 3076:5117 5122:6143 6148:8189 8194:9215 9220:11261 11266:12287 12292:14333 14338:15359 15364:16379" s="310" customFormat="1" outlineLevel="1" x14ac:dyDescent="0.2">
      <c r="B28" s="264">
        <f t="shared" si="27"/>
        <v>19</v>
      </c>
      <c r="C28" s="269"/>
      <c r="D28" s="300" t="str">
        <f>+[2]rapkvart!$B18</f>
        <v>Finansiella poster</v>
      </c>
      <c r="E28" s="300"/>
      <c r="G28" s="1076">
        <f>[2]rapkvart!S18</f>
        <v>-9</v>
      </c>
      <c r="H28" s="1076">
        <f>[2]rapkvart!T18</f>
        <v>-11.5</v>
      </c>
      <c r="I28" s="1076">
        <f>[2]rapkvart!U18</f>
        <v>-21.5</v>
      </c>
      <c r="J28" s="1076">
        <f>[2]rapkvart!V18</f>
        <v>-27.900000000000002</v>
      </c>
      <c r="K28" s="1076">
        <f>[2]rapkvart!O18</f>
        <v>1.4</v>
      </c>
      <c r="L28" s="1076">
        <f>[2]rapkvart!P18</f>
        <v>-4.4000000000000004</v>
      </c>
      <c r="M28" s="1076">
        <f>[2]rapkvart!Q18</f>
        <v>-6.7</v>
      </c>
      <c r="N28" s="1076">
        <f>[2]rapkvart!R18</f>
        <v>-6.8999999999999995</v>
      </c>
      <c r="O28" s="1076">
        <f>[2]rapkvart!K18</f>
        <v>-3.2</v>
      </c>
      <c r="P28" s="1076">
        <f>[2]rapkvart!L18</f>
        <v>-7.5</v>
      </c>
      <c r="Q28" s="1076">
        <f>[2]rapkvart!M18</f>
        <v>-6.7</v>
      </c>
      <c r="R28" s="1076">
        <f>[2]rapkvart!N18</f>
        <v>-6.8999999999999995</v>
      </c>
      <c r="S28" s="1079"/>
      <c r="T28" s="1073">
        <f>[2]rapkvart!AE18</f>
        <v>-9</v>
      </c>
      <c r="U28" s="1073">
        <f>[2]rapkvart!AF18</f>
        <v>-2.5000000000000013</v>
      </c>
      <c r="V28" s="1073">
        <f>[2]rapkvart!AG18</f>
        <v>-10</v>
      </c>
      <c r="W28" s="1073">
        <f>[2]rapkvart!AH18</f>
        <v>-6.4000000000000012</v>
      </c>
      <c r="X28" s="1073">
        <f>[2]rapkvart!AA18</f>
        <v>1.4</v>
      </c>
      <c r="Y28" s="1073">
        <f>[2]rapkvart!AB18</f>
        <v>-5.8</v>
      </c>
      <c r="Z28" s="1073">
        <f>[2]rapkvart!AC18</f>
        <v>-2.3000000000000003</v>
      </c>
      <c r="AA28" s="1073">
        <f>[2]rapkvart!AD18</f>
        <v>-0.19999999999999907</v>
      </c>
      <c r="AB28" s="1073">
        <f>[2]rapkvart!W18</f>
        <v>-3.2</v>
      </c>
      <c r="AC28" s="1073">
        <f>[2]rapkvart!X18</f>
        <v>-4.3</v>
      </c>
      <c r="AD28" s="1073">
        <f>[2]rapkvart!Y18</f>
        <v>0.79999999999999927</v>
      </c>
      <c r="AE28" s="1073">
        <f>[2]rapkvart!Z18</f>
        <v>-0.19999999999999907</v>
      </c>
      <c r="AV28" s="1187" t="str">
        <f t="shared" si="28"/>
        <v>Finansiella poster</v>
      </c>
      <c r="AW28" s="1186"/>
      <c r="AX28" s="1235">
        <f t="shared" si="177"/>
        <v>-4.3</v>
      </c>
      <c r="AY28" s="1236">
        <f t="shared" si="178"/>
        <v>-5.8</v>
      </c>
      <c r="AZ28" s="1235">
        <f t="shared" si="179"/>
        <v>-7.5</v>
      </c>
      <c r="BA28" s="1236">
        <f t="shared" si="180"/>
        <v>-4.4000000000000004</v>
      </c>
      <c r="BB28" s="1235">
        <f t="shared" si="181"/>
        <v>-10</v>
      </c>
      <c r="BC28" s="1236">
        <f t="shared" si="182"/>
        <v>-6.8999999999999995</v>
      </c>
      <c r="BE28" s="1187" t="s">
        <v>306</v>
      </c>
      <c r="BF28" s="1186"/>
      <c r="BG28" s="1235">
        <f t="shared" si="183"/>
        <v>-4.3</v>
      </c>
      <c r="BH28" s="1236">
        <f t="shared" si="184"/>
        <v>-5.8</v>
      </c>
      <c r="BI28" s="1235">
        <f t="shared" si="185"/>
        <v>-7.5</v>
      </c>
      <c r="BJ28" s="1236">
        <f t="shared" si="186"/>
        <v>-4.4000000000000004</v>
      </c>
      <c r="BK28" s="1235">
        <f t="shared" si="187"/>
        <v>-10</v>
      </c>
      <c r="BL28" s="1236">
        <f t="shared" si="188"/>
        <v>-6.8999999999999995</v>
      </c>
      <c r="BN28" s="242"/>
      <c r="BP28" s="341" t="str">
        <f t="shared" si="119"/>
        <v>Finansiella poster</v>
      </c>
      <c r="BQ28" s="978"/>
      <c r="BR28" s="979"/>
      <c r="BS28" s="979"/>
      <c r="BT28" s="979"/>
      <c r="BU28" s="979"/>
      <c r="BV28" s="979"/>
      <c r="BW28" s="979"/>
      <c r="BX28" s="979"/>
      <c r="BY28" s="979"/>
      <c r="BZ28" s="979"/>
      <c r="CA28" s="979"/>
      <c r="CB28" s="341"/>
      <c r="CE28" s="1288">
        <f t="shared" si="171"/>
        <v>0</v>
      </c>
      <c r="CF28" s="281">
        <f t="shared" si="36"/>
        <v>18</v>
      </c>
      <c r="CG28" s="269"/>
      <c r="CH28" s="1608"/>
      <c r="CI28" s="341" t="s">
        <v>307</v>
      </c>
      <c r="CJ28" s="1365"/>
      <c r="CK28" s="978">
        <f>SUM(CK26:CK27)</f>
        <v>-9</v>
      </c>
      <c r="CL28" s="978">
        <f t="shared" ref="CL28:CV28" si="199">SUM(CL26:CL27)</f>
        <v>-2.5000000000000013</v>
      </c>
      <c r="CM28" s="978">
        <f t="shared" si="199"/>
        <v>-10</v>
      </c>
      <c r="CN28" s="978">
        <f t="shared" si="199"/>
        <v>-6.4000000000000012</v>
      </c>
      <c r="CO28" s="978">
        <f t="shared" si="199"/>
        <v>1.4</v>
      </c>
      <c r="CP28" s="978">
        <f t="shared" si="199"/>
        <v>-5.8</v>
      </c>
      <c r="CQ28" s="978">
        <f t="shared" si="199"/>
        <v>-2.3000000000000003</v>
      </c>
      <c r="CR28" s="978">
        <f t="shared" si="199"/>
        <v>-0.19999999999999907</v>
      </c>
      <c r="CS28" s="978">
        <f t="shared" si="199"/>
        <v>-3.2</v>
      </c>
      <c r="CT28" s="978">
        <f t="shared" si="199"/>
        <v>-4.3</v>
      </c>
      <c r="CU28" s="978">
        <f t="shared" si="199"/>
        <v>0.79999999999999927</v>
      </c>
      <c r="CV28" s="978">
        <f t="shared" si="199"/>
        <v>-0.19999999999999907</v>
      </c>
      <c r="CW28" s="1008"/>
      <c r="CX28" s="1008"/>
      <c r="CY28" s="1008"/>
      <c r="CZ28" s="1008"/>
      <c r="DA28" s="1008"/>
      <c r="DB28" s="1008"/>
      <c r="DC28" s="1008"/>
      <c r="DD28" s="1008"/>
      <c r="DE28" s="1008"/>
      <c r="DF28" s="1008"/>
      <c r="DG28" s="1008"/>
      <c r="DH28" s="1008"/>
      <c r="DI28" s="1008"/>
      <c r="DJ28" s="244"/>
      <c r="DK28" s="1639" t="str">
        <f t="shared" si="73"/>
        <v>Finansiella poster</v>
      </c>
      <c r="DL28" s="1622">
        <f t="shared" si="38"/>
        <v>0</v>
      </c>
      <c r="DM28" s="1622">
        <f t="shared" si="39"/>
        <v>0</v>
      </c>
      <c r="DN28" s="1622">
        <f t="shared" si="40"/>
        <v>0</v>
      </c>
      <c r="DO28" s="1622">
        <f t="shared" si="41"/>
        <v>0</v>
      </c>
      <c r="DP28" s="1622">
        <f t="shared" si="42"/>
        <v>0</v>
      </c>
      <c r="DQ28" s="1622">
        <f t="shared" si="43"/>
        <v>0</v>
      </c>
      <c r="DR28" s="1622">
        <f t="shared" si="44"/>
        <v>0</v>
      </c>
      <c r="DS28" s="1622">
        <f t="shared" si="45"/>
        <v>0</v>
      </c>
      <c r="DT28" s="1622">
        <f t="shared" si="46"/>
        <v>0</v>
      </c>
      <c r="DU28" s="1655">
        <f t="shared" si="47"/>
        <v>0</v>
      </c>
      <c r="DV28" s="1622">
        <f t="shared" si="48"/>
        <v>0</v>
      </c>
      <c r="DW28" s="1622">
        <f t="shared" si="49"/>
        <v>0</v>
      </c>
      <c r="DX28" s="244"/>
      <c r="DY28" s="1187" t="str">
        <f t="shared" si="121"/>
        <v>Finansiella poster</v>
      </c>
      <c r="DZ28" s="1186"/>
      <c r="EA28" s="1235">
        <f t="shared" si="122"/>
        <v>-4.3</v>
      </c>
      <c r="EB28" s="1236">
        <f t="shared" si="123"/>
        <v>-5.8</v>
      </c>
      <c r="EC28" s="1235">
        <f t="shared" si="124"/>
        <v>-7.5</v>
      </c>
      <c r="ED28" s="1236">
        <f t="shared" si="125"/>
        <v>-4.4000000000000004</v>
      </c>
      <c r="EE28" s="1235">
        <f t="shared" si="126"/>
        <v>-10</v>
      </c>
      <c r="EF28" s="1236">
        <f t="shared" si="127"/>
        <v>-6.9</v>
      </c>
      <c r="EG28" s="269"/>
      <c r="EH28" s="242"/>
      <c r="EI28" s="242"/>
      <c r="EJ28" s="269"/>
      <c r="EK28" s="1187" t="s">
        <v>308</v>
      </c>
      <c r="EL28" s="1186"/>
      <c r="EM28" s="1235">
        <f t="shared" si="74"/>
        <v>-4.3</v>
      </c>
      <c r="EN28" s="1236">
        <f t="shared" si="75"/>
        <v>-5.8</v>
      </c>
      <c r="EO28" s="1235">
        <f t="shared" si="76"/>
        <v>-7.5</v>
      </c>
      <c r="EP28" s="1236">
        <f t="shared" si="77"/>
        <v>-4.4000000000000004</v>
      </c>
      <c r="EQ28" s="1235">
        <f t="shared" si="78"/>
        <v>-10</v>
      </c>
      <c r="ER28" s="1236">
        <f t="shared" si="79"/>
        <v>-6.9</v>
      </c>
      <c r="ES28" s="269"/>
      <c r="ET28" s="242"/>
      <c r="EU28" s="242"/>
      <c r="EV28" s="242"/>
      <c r="EW28" s="2156" t="s">
        <v>35</v>
      </c>
      <c r="EX28" s="908">
        <f t="shared" ref="EX28:FC28" si="200">HJ48</f>
        <v>211.07943979190605</v>
      </c>
      <c r="EY28" s="909">
        <f t="shared" si="200"/>
        <v>191.77209165195603</v>
      </c>
      <c r="EZ28" s="908">
        <f t="shared" si="200"/>
        <v>211.07943979190605</v>
      </c>
      <c r="FA28" s="909">
        <f t="shared" si="200"/>
        <v>191.77209165195603</v>
      </c>
      <c r="FB28" s="2032">
        <f t="shared" si="200"/>
        <v>211.07943979190605</v>
      </c>
      <c r="FC28" s="908">
        <f t="shared" si="200"/>
        <v>195.50778601958208</v>
      </c>
      <c r="FF28" s="915" t="s">
        <v>305</v>
      </c>
      <c r="FG28" s="916">
        <f t="shared" si="112"/>
        <v>2464.0078124457832</v>
      </c>
      <c r="FH28" s="2033">
        <f t="shared" si="113"/>
        <v>2420.739605887039</v>
      </c>
      <c r="FI28" s="916">
        <f t="shared" si="114"/>
        <v>2464.0078124457832</v>
      </c>
      <c r="FJ28" s="2033">
        <f t="shared" si="115"/>
        <v>2420.739605887039</v>
      </c>
      <c r="FK28" s="2033">
        <f t="shared" si="116"/>
        <v>2464.0078124457832</v>
      </c>
      <c r="FL28" s="916">
        <f t="shared" si="117"/>
        <v>2361.585591886711</v>
      </c>
      <c r="FN28" s="1577"/>
      <c r="FO28" s="242"/>
      <c r="FP28" s="2163"/>
      <c r="FQ28" s="2164"/>
      <c r="FR28" s="2163"/>
      <c r="FS28" s="2164"/>
      <c r="FT28" s="2163"/>
      <c r="FU28" s="2164"/>
      <c r="FV28" s="2235"/>
      <c r="FW28" s="2163"/>
      <c r="FX28" s="2164"/>
      <c r="FY28" s="2163"/>
      <c r="FZ28" s="2164"/>
      <c r="GA28" s="2159"/>
      <c r="GB28" s="2160"/>
      <c r="GD28" s="1577"/>
      <c r="GE28" s="242"/>
      <c r="GF28" s="2339"/>
      <c r="GG28" s="2340"/>
      <c r="GH28" s="2339"/>
      <c r="GI28" s="2340"/>
      <c r="GJ28" s="908"/>
      <c r="GK28" s="2032"/>
      <c r="GL28" s="242"/>
      <c r="GM28" s="2339"/>
      <c r="GN28" s="2340"/>
      <c r="GO28" s="2339"/>
      <c r="GP28" s="2340"/>
      <c r="GQ28" s="908"/>
      <c r="GR28" s="2032"/>
      <c r="GS28" s="242"/>
      <c r="GT28" s="242"/>
      <c r="GU28" s="2429" t="s">
        <v>309</v>
      </c>
      <c r="GV28" s="242"/>
      <c r="GW28" s="1988">
        <f t="shared" ref="GW28:HH28" si="201">GW$11</f>
        <v>2403</v>
      </c>
      <c r="GX28" s="1988">
        <f t="shared" si="201"/>
        <v>2406</v>
      </c>
      <c r="GY28" s="1988">
        <f t="shared" si="201"/>
        <v>2409</v>
      </c>
      <c r="GZ28" s="1988">
        <f t="shared" si="201"/>
        <v>2412</v>
      </c>
      <c r="HA28" s="1988">
        <f t="shared" si="201"/>
        <v>2503</v>
      </c>
      <c r="HB28" s="1988">
        <f t="shared" si="201"/>
        <v>2506</v>
      </c>
      <c r="HC28" s="1988">
        <f t="shared" si="201"/>
        <v>2509</v>
      </c>
      <c r="HD28" s="1988">
        <f t="shared" si="201"/>
        <v>2512</v>
      </c>
      <c r="HE28" s="1988">
        <f t="shared" si="201"/>
        <v>2603</v>
      </c>
      <c r="HF28" s="1988">
        <f t="shared" si="201"/>
        <v>2606</v>
      </c>
      <c r="HG28" s="1988">
        <f t="shared" si="201"/>
        <v>2609</v>
      </c>
      <c r="HH28" s="1988">
        <f t="shared" si="201"/>
        <v>2612</v>
      </c>
      <c r="HJ28" s="2024">
        <f t="shared" ref="HJ28:HO28" si="202">HJ$11</f>
        <v>2026</v>
      </c>
      <c r="HK28" s="2024">
        <f t="shared" si="202"/>
        <v>2025</v>
      </c>
      <c r="HL28" s="2024">
        <f t="shared" si="202"/>
        <v>2026</v>
      </c>
      <c r="HM28" s="2024">
        <f t="shared" si="202"/>
        <v>2025</v>
      </c>
      <c r="HN28" s="2024">
        <f t="shared" si="202"/>
        <v>2026</v>
      </c>
      <c r="HO28" s="2025">
        <f t="shared" si="202"/>
        <v>2025</v>
      </c>
      <c r="HP28" s="2003"/>
      <c r="HZ28" s="892"/>
      <c r="IA28" s="1985" t="s">
        <v>310</v>
      </c>
      <c r="IB28" s="2024">
        <f>IB$11</f>
        <v>2026</v>
      </c>
      <c r="IC28" s="2024">
        <f t="shared" ref="IC28:IG28" si="203">IC$11</f>
        <v>2025</v>
      </c>
      <c r="ID28" s="2024">
        <f t="shared" si="203"/>
        <v>2026</v>
      </c>
      <c r="IE28" s="2024">
        <f t="shared" si="203"/>
        <v>2025</v>
      </c>
      <c r="IF28" s="2024">
        <f t="shared" si="203"/>
        <v>2026</v>
      </c>
      <c r="IG28" s="2025">
        <f t="shared" si="203"/>
        <v>2025</v>
      </c>
      <c r="IH28" s="1149"/>
      <c r="II28" s="1347"/>
      <c r="IJ28" s="1678">
        <f t="shared" si="173"/>
        <v>0</v>
      </c>
      <c r="IK28" s="264">
        <f t="shared" si="23"/>
        <v>18</v>
      </c>
      <c r="IL28" s="242"/>
      <c r="IM28" s="242"/>
      <c r="IN28" s="1187" t="str">
        <f t="shared" si="133"/>
        <v>Finansiella poster</v>
      </c>
      <c r="IO28" s="1696"/>
      <c r="IP28" s="1696"/>
      <c r="IQ28" s="1696"/>
      <c r="IR28" s="242"/>
      <c r="IS28" s="242"/>
      <c r="IT28" s="1678">
        <f t="shared" si="174"/>
        <v>0</v>
      </c>
      <c r="IU28" s="264">
        <f t="shared" si="24"/>
        <v>18</v>
      </c>
      <c r="IV28" s="242"/>
      <c r="IW28" s="242"/>
      <c r="IX28" s="1187" t="s">
        <v>307</v>
      </c>
      <c r="IY28" s="1187"/>
      <c r="IZ28" s="1235">
        <f>SUM(IZ26:IZ27)</f>
        <v>-4.3</v>
      </c>
      <c r="JA28" s="1696">
        <f t="shared" si="86"/>
        <v>0</v>
      </c>
      <c r="JB28" s="1235">
        <f t="shared" si="134"/>
        <v>-4.3</v>
      </c>
      <c r="JC28" s="242"/>
      <c r="JD28" s="242"/>
      <c r="JE28" s="242"/>
      <c r="JF28" s="1187" t="str">
        <f t="shared" si="135"/>
        <v>Finansiella poster</v>
      </c>
      <c r="JG28" s="1235">
        <f t="shared" si="175"/>
        <v>-4.3</v>
      </c>
      <c r="JH28" s="1696"/>
      <c r="JI28" s="1235">
        <f t="shared" si="176"/>
        <v>-4.3</v>
      </c>
      <c r="JJ28" s="242"/>
      <c r="JK28" s="242"/>
      <c r="JL28" s="242"/>
      <c r="JM28" s="1187" t="s">
        <v>306</v>
      </c>
      <c r="JN28" s="1235">
        <f t="shared" si="87"/>
        <v>-4.3</v>
      </c>
      <c r="JO28" s="1696"/>
      <c r="JP28" s="1235">
        <f t="shared" si="88"/>
        <v>-4.3</v>
      </c>
      <c r="JQ28" s="242"/>
      <c r="JT28" s="1347"/>
      <c r="JU28" s="1348"/>
      <c r="JZ28" s="1347"/>
      <c r="KA28" s="1348"/>
      <c r="KF28" s="1347"/>
      <c r="KG28" s="1348"/>
      <c r="KL28" s="1347"/>
      <c r="KM28" s="1348"/>
      <c r="KR28" s="1347"/>
      <c r="KS28" s="1348"/>
      <c r="KX28" s="1347"/>
      <c r="KY28" s="1348"/>
      <c r="LD28" s="1347"/>
      <c r="LE28" s="1348"/>
      <c r="LJ28" s="1347"/>
      <c r="LK28" s="1348"/>
      <c r="LP28" s="1347"/>
      <c r="LQ28" s="1348"/>
      <c r="LV28" s="1347"/>
      <c r="LW28" s="1348"/>
      <c r="MB28" s="1347"/>
      <c r="MC28" s="1348"/>
      <c r="MH28" s="1347"/>
      <c r="MI28" s="1348"/>
      <c r="MN28" s="1347"/>
      <c r="MO28" s="1348"/>
      <c r="MT28" s="1347"/>
      <c r="MU28" s="1348"/>
      <c r="MZ28" s="1347"/>
      <c r="NA28" s="1348"/>
      <c r="NF28" s="1347"/>
      <c r="NG28" s="1348"/>
      <c r="NL28" s="1347"/>
      <c r="NM28" s="1348"/>
      <c r="NR28" s="1347"/>
      <c r="NS28" s="1348"/>
      <c r="NX28" s="1347"/>
      <c r="NY28" s="1348"/>
      <c r="OD28" s="1347"/>
      <c r="OE28" s="1348"/>
      <c r="OJ28" s="1347"/>
      <c r="OK28" s="1348"/>
      <c r="OP28" s="1347"/>
      <c r="OQ28" s="1348"/>
      <c r="OV28" s="1347"/>
      <c r="OW28" s="1348"/>
      <c r="PB28" s="1347"/>
      <c r="PC28" s="1348"/>
      <c r="PH28" s="1347"/>
      <c r="PI28" s="1348"/>
      <c r="PN28" s="1347"/>
      <c r="PO28" s="1348"/>
      <c r="PT28" s="1347"/>
      <c r="PU28" s="1348"/>
      <c r="PZ28" s="1347"/>
      <c r="QA28" s="1348"/>
      <c r="QF28" s="1347"/>
      <c r="QG28" s="1348"/>
      <c r="QL28" s="1347"/>
      <c r="QM28" s="1348"/>
      <c r="QR28" s="1347"/>
      <c r="QS28" s="1348"/>
      <c r="QX28" s="1347"/>
      <c r="QY28" s="1348"/>
      <c r="RD28" s="1347"/>
      <c r="RE28" s="1348"/>
      <c r="RJ28" s="1347"/>
      <c r="RK28" s="1348"/>
      <c r="RP28" s="1347"/>
      <c r="RQ28" s="1348"/>
      <c r="RV28" s="1347"/>
      <c r="RW28" s="1348"/>
      <c r="SB28" s="1347"/>
      <c r="SC28" s="1348"/>
      <c r="SH28" s="1347"/>
      <c r="SI28" s="1348"/>
      <c r="SN28" s="1347"/>
      <c r="SO28" s="1348"/>
      <c r="ST28" s="1347"/>
      <c r="SU28" s="1348"/>
      <c r="SZ28" s="1347"/>
      <c r="TA28" s="1348"/>
      <c r="TF28" s="1347"/>
      <c r="TG28" s="1348"/>
      <c r="TL28" s="1347"/>
      <c r="TM28" s="1348"/>
      <c r="TR28" s="1347"/>
      <c r="TS28" s="1348"/>
      <c r="TX28" s="1347"/>
      <c r="TY28" s="1348"/>
      <c r="UD28" s="1347"/>
      <c r="UE28" s="1348"/>
      <c r="UJ28" s="1347"/>
      <c r="UK28" s="1348"/>
      <c r="UP28" s="1347"/>
      <c r="UQ28" s="1348"/>
      <c r="UV28" s="1347"/>
      <c r="UW28" s="1348"/>
      <c r="VB28" s="1347"/>
      <c r="VC28" s="1348"/>
      <c r="VH28" s="1347"/>
      <c r="VI28" s="1348"/>
      <c r="VN28" s="1347"/>
      <c r="VO28" s="1348"/>
      <c r="VT28" s="1347"/>
      <c r="VU28" s="1348"/>
      <c r="VZ28" s="1347"/>
      <c r="WA28" s="1348"/>
      <c r="WF28" s="1347"/>
      <c r="WG28" s="1348"/>
      <c r="WL28" s="1347"/>
      <c r="WM28" s="1348"/>
      <c r="WR28" s="1347"/>
      <c r="WS28" s="1348"/>
      <c r="WX28" s="1347"/>
      <c r="WY28" s="1348"/>
      <c r="XD28" s="1347"/>
      <c r="XE28" s="1348"/>
      <c r="XJ28" s="1347"/>
      <c r="XK28" s="1348"/>
      <c r="XP28" s="1347"/>
      <c r="XQ28" s="1348"/>
      <c r="XV28" s="1347"/>
      <c r="XW28" s="1348"/>
      <c r="YB28" s="1347"/>
      <c r="YC28" s="1348"/>
      <c r="YH28" s="1347"/>
      <c r="YI28" s="1348"/>
      <c r="YN28" s="1347"/>
      <c r="YO28" s="1348"/>
      <c r="YT28" s="1347"/>
      <c r="YU28" s="1348"/>
      <c r="YZ28" s="1347"/>
      <c r="ZA28" s="1348"/>
      <c r="ZF28" s="1347"/>
      <c r="ZG28" s="1348"/>
      <c r="ZL28" s="1347"/>
      <c r="ZM28" s="1348"/>
      <c r="ZR28" s="1347"/>
      <c r="ZS28" s="1348"/>
      <c r="ZX28" s="1347"/>
      <c r="ZY28" s="1348"/>
      <c r="AAD28" s="1347"/>
      <c r="AAE28" s="1348"/>
      <c r="AAJ28" s="1347"/>
      <c r="AAK28" s="1348"/>
      <c r="AAP28" s="1347"/>
      <c r="AAQ28" s="1348"/>
      <c r="AAV28" s="1347"/>
      <c r="AAW28" s="1348"/>
      <c r="ABB28" s="1347"/>
      <c r="ABC28" s="1348"/>
      <c r="ABH28" s="1347"/>
      <c r="ABI28" s="1348"/>
      <c r="ABN28" s="1347"/>
      <c r="ABO28" s="1348"/>
      <c r="ABT28" s="1347"/>
      <c r="ABU28" s="1348"/>
      <c r="ABZ28" s="1347"/>
      <c r="ACA28" s="1348"/>
      <c r="ACF28" s="1347"/>
      <c r="ACG28" s="1348"/>
      <c r="ACL28" s="1347"/>
      <c r="ACM28" s="1348"/>
      <c r="ACR28" s="1347"/>
      <c r="ACS28" s="1348"/>
      <c r="ACX28" s="1347"/>
      <c r="ACY28" s="1348"/>
      <c r="ADD28" s="1347"/>
      <c r="ADE28" s="1348"/>
      <c r="ADJ28" s="1347"/>
      <c r="ADK28" s="1348"/>
      <c r="ADP28" s="1347"/>
      <c r="ADQ28" s="1348"/>
      <c r="ADV28" s="1347"/>
      <c r="ADW28" s="1348"/>
      <c r="AEB28" s="1347"/>
      <c r="AEC28" s="1348"/>
      <c r="AEH28" s="1347"/>
      <c r="AEI28" s="1348"/>
      <c r="AEN28" s="1347"/>
      <c r="AEO28" s="1348"/>
      <c r="AET28" s="1347"/>
      <c r="AEU28" s="1348"/>
      <c r="AEZ28" s="1347"/>
      <c r="AFA28" s="1348"/>
      <c r="AFF28" s="1347"/>
      <c r="AFG28" s="1348"/>
      <c r="AFL28" s="1347"/>
      <c r="AFM28" s="1348"/>
      <c r="AFR28" s="1347"/>
      <c r="AFS28" s="1348"/>
      <c r="AFX28" s="1347"/>
      <c r="AFY28" s="1348"/>
      <c r="AGD28" s="1347"/>
      <c r="AGE28" s="1348"/>
      <c r="AGJ28" s="1347"/>
      <c r="AGK28" s="1348"/>
      <c r="AGP28" s="1347"/>
      <c r="AGQ28" s="1348"/>
      <c r="AGV28" s="1347"/>
      <c r="AGW28" s="1348"/>
      <c r="AHB28" s="1347"/>
      <c r="AHC28" s="1348"/>
      <c r="AHH28" s="1347"/>
      <c r="AHI28" s="1348"/>
      <c r="AHN28" s="1347"/>
      <c r="AHO28" s="1348"/>
      <c r="AHT28" s="1347"/>
      <c r="AHU28" s="1348"/>
      <c r="AHZ28" s="1347"/>
      <c r="AIA28" s="1348"/>
      <c r="AIF28" s="1347"/>
      <c r="AIG28" s="1348"/>
      <c r="AIL28" s="1347"/>
      <c r="AIM28" s="1348"/>
      <c r="AIR28" s="1347"/>
      <c r="AIS28" s="1348"/>
      <c r="AIX28" s="1347"/>
      <c r="AIY28" s="1348"/>
      <c r="AJD28" s="1347"/>
      <c r="AJE28" s="1348"/>
      <c r="AJJ28" s="1347"/>
      <c r="AJK28" s="1348"/>
      <c r="AJP28" s="1347"/>
      <c r="AJQ28" s="1348"/>
      <c r="AJV28" s="1347"/>
      <c r="AJW28" s="1348"/>
      <c r="AKB28" s="1347"/>
      <c r="AKC28" s="1348"/>
      <c r="AKH28" s="1347"/>
      <c r="AKI28" s="1348"/>
      <c r="AKN28" s="1347"/>
      <c r="AKO28" s="1348"/>
      <c r="AKT28" s="1347"/>
      <c r="AKU28" s="1348"/>
      <c r="AKZ28" s="1347"/>
      <c r="ALA28" s="1348"/>
      <c r="ALF28" s="1347"/>
      <c r="ALG28" s="1348"/>
      <c r="ALL28" s="1347"/>
      <c r="ALM28" s="1348"/>
      <c r="ALR28" s="1347"/>
      <c r="ALS28" s="1348"/>
      <c r="ALX28" s="1347"/>
      <c r="ALY28" s="1348"/>
      <c r="AMD28" s="1347"/>
      <c r="AME28" s="1348"/>
      <c r="AMJ28" s="1347"/>
      <c r="AMK28" s="1348"/>
      <c r="AMP28" s="1347"/>
      <c r="AMQ28" s="1348"/>
      <c r="AMV28" s="1347"/>
      <c r="AMW28" s="1348"/>
      <c r="ANB28" s="1347"/>
      <c r="ANC28" s="1348"/>
      <c r="ANH28" s="1347"/>
      <c r="ANI28" s="1348"/>
      <c r="ANN28" s="1347"/>
      <c r="ANO28" s="1348"/>
      <c r="ANT28" s="1347"/>
      <c r="ANU28" s="1348"/>
      <c r="ANZ28" s="1347"/>
      <c r="AOA28" s="1348"/>
      <c r="AOF28" s="1347"/>
      <c r="AOG28" s="1348"/>
      <c r="AOL28" s="1347"/>
      <c r="AOM28" s="1348"/>
      <c r="AOR28" s="1347"/>
      <c r="AOS28" s="1348"/>
      <c r="AOX28" s="1347"/>
      <c r="AOY28" s="1348"/>
      <c r="APD28" s="1347"/>
      <c r="APE28" s="1348"/>
      <c r="APJ28" s="1347"/>
      <c r="APK28" s="1348"/>
      <c r="APP28" s="1347"/>
      <c r="APQ28" s="1348"/>
      <c r="APV28" s="1347"/>
      <c r="APW28" s="1348"/>
      <c r="AQB28" s="1347"/>
      <c r="AQC28" s="1348"/>
      <c r="AQH28" s="1347"/>
      <c r="AQI28" s="1348"/>
      <c r="AQN28" s="1347"/>
      <c r="AQO28" s="1348"/>
      <c r="AQT28" s="1347"/>
      <c r="AQU28" s="1348"/>
      <c r="AQZ28" s="1347"/>
      <c r="ARA28" s="1348"/>
      <c r="ARF28" s="1347"/>
      <c r="ARG28" s="1348"/>
      <c r="ARL28" s="1347"/>
      <c r="ARM28" s="1348"/>
      <c r="ARR28" s="1347"/>
      <c r="ARS28" s="1348"/>
      <c r="ARX28" s="1347"/>
      <c r="ARY28" s="1348"/>
      <c r="ASD28" s="1347"/>
      <c r="ASE28" s="1348"/>
      <c r="ASJ28" s="1347"/>
      <c r="ASK28" s="1348"/>
      <c r="ASP28" s="1347"/>
      <c r="ASQ28" s="1348"/>
      <c r="ASV28" s="1347"/>
      <c r="ASW28" s="1348"/>
      <c r="ATB28" s="1347"/>
      <c r="ATC28" s="1348"/>
      <c r="ATH28" s="1347"/>
      <c r="ATI28" s="1348"/>
      <c r="ATN28" s="1347"/>
      <c r="ATO28" s="1348"/>
      <c r="ATT28" s="1347"/>
      <c r="ATU28" s="1348"/>
      <c r="ATZ28" s="1347"/>
      <c r="AUA28" s="1348"/>
      <c r="AUF28" s="1347"/>
      <c r="AUG28" s="1348"/>
      <c r="AUL28" s="1347"/>
      <c r="AUM28" s="1348"/>
      <c r="AUR28" s="1347"/>
      <c r="AUS28" s="1348"/>
      <c r="AUX28" s="1347"/>
      <c r="AUY28" s="1348"/>
      <c r="AVD28" s="1347"/>
      <c r="AVE28" s="1348"/>
      <c r="AVJ28" s="1347"/>
      <c r="AVK28" s="1348"/>
      <c r="AVP28" s="1347"/>
      <c r="AVQ28" s="1348"/>
      <c r="AVV28" s="1347"/>
      <c r="AVW28" s="1348"/>
      <c r="AWB28" s="1347"/>
      <c r="AWC28" s="1348"/>
      <c r="AWH28" s="1347"/>
      <c r="AWI28" s="1348"/>
      <c r="AWN28" s="1347"/>
      <c r="AWO28" s="1348"/>
      <c r="AWT28" s="1347"/>
      <c r="AWU28" s="1348"/>
      <c r="AWZ28" s="1347"/>
      <c r="AXA28" s="1348"/>
      <c r="AXF28" s="1347"/>
      <c r="AXG28" s="1348"/>
      <c r="AXL28" s="1347"/>
      <c r="AXM28" s="1348"/>
      <c r="AXR28" s="1347"/>
      <c r="AXS28" s="1348"/>
      <c r="AXX28" s="1347"/>
      <c r="AXY28" s="1348"/>
      <c r="AYD28" s="1347"/>
      <c r="AYE28" s="1348"/>
      <c r="AYJ28" s="1347"/>
      <c r="AYK28" s="1348"/>
      <c r="AYP28" s="1347"/>
      <c r="AYQ28" s="1348"/>
      <c r="AYV28" s="1347"/>
      <c r="AYW28" s="1348"/>
      <c r="AZB28" s="1347"/>
      <c r="AZC28" s="1348"/>
      <c r="AZH28" s="1347"/>
      <c r="AZI28" s="1348"/>
      <c r="AZN28" s="1347"/>
      <c r="AZO28" s="1348"/>
      <c r="AZT28" s="1347"/>
      <c r="AZU28" s="1348"/>
      <c r="AZZ28" s="1347"/>
      <c r="BAA28" s="1348"/>
      <c r="BAF28" s="1347"/>
      <c r="BAG28" s="1348"/>
      <c r="BAL28" s="1347"/>
      <c r="BAM28" s="1348"/>
      <c r="BAR28" s="1347"/>
      <c r="BAS28" s="1348"/>
      <c r="BAX28" s="1347"/>
      <c r="BAY28" s="1348"/>
      <c r="BBD28" s="1347"/>
      <c r="BBE28" s="1348"/>
      <c r="BBJ28" s="1347"/>
      <c r="BBK28" s="1348"/>
      <c r="BBP28" s="1347"/>
      <c r="BBQ28" s="1348"/>
      <c r="BBV28" s="1347"/>
      <c r="BBW28" s="1348"/>
      <c r="BCB28" s="1347"/>
      <c r="BCC28" s="1348"/>
      <c r="BCH28" s="1347"/>
      <c r="BCI28" s="1348"/>
      <c r="BCN28" s="1347"/>
      <c r="BCO28" s="1348"/>
      <c r="BCT28" s="1347"/>
      <c r="BCU28" s="1348"/>
      <c r="BCZ28" s="1347"/>
      <c r="BDA28" s="1348"/>
      <c r="BDF28" s="1347"/>
      <c r="BDG28" s="1348"/>
      <c r="BDL28" s="1347"/>
      <c r="BDM28" s="1348"/>
      <c r="BDR28" s="1347"/>
      <c r="BDS28" s="1348"/>
      <c r="BDX28" s="1347"/>
      <c r="BDY28" s="1348"/>
      <c r="BED28" s="1347"/>
      <c r="BEE28" s="1348"/>
      <c r="BEJ28" s="1347"/>
      <c r="BEK28" s="1348"/>
      <c r="BEP28" s="1347"/>
      <c r="BEQ28" s="1348"/>
      <c r="BEV28" s="1347"/>
      <c r="BEW28" s="1348"/>
      <c r="BFB28" s="1347"/>
      <c r="BFC28" s="1348"/>
      <c r="BFH28" s="1347"/>
      <c r="BFI28" s="1348"/>
      <c r="BFN28" s="1347"/>
      <c r="BFO28" s="1348"/>
      <c r="BFT28" s="1347"/>
      <c r="BFU28" s="1348"/>
      <c r="BFZ28" s="1347"/>
      <c r="BGA28" s="1348"/>
      <c r="BGF28" s="1347"/>
      <c r="BGG28" s="1348"/>
      <c r="BGL28" s="1347"/>
      <c r="BGM28" s="1348"/>
      <c r="BGR28" s="1347"/>
      <c r="BGS28" s="1348"/>
      <c r="BGX28" s="1347"/>
      <c r="BGY28" s="1348"/>
      <c r="BHD28" s="1347"/>
      <c r="BHE28" s="1348"/>
      <c r="BHJ28" s="1347"/>
      <c r="BHK28" s="1348"/>
      <c r="BHP28" s="1347"/>
      <c r="BHQ28" s="1348"/>
      <c r="BHV28" s="1347"/>
      <c r="BHW28" s="1348"/>
      <c r="BIB28" s="1347"/>
      <c r="BIC28" s="1348"/>
      <c r="BIH28" s="1347"/>
      <c r="BII28" s="1348"/>
      <c r="BIN28" s="1347"/>
      <c r="BIO28" s="1348"/>
      <c r="BIT28" s="1347"/>
      <c r="BIU28" s="1348"/>
      <c r="BIZ28" s="1347"/>
      <c r="BJA28" s="1348"/>
      <c r="BJF28" s="1347"/>
      <c r="BJG28" s="1348"/>
      <c r="BJL28" s="1347"/>
      <c r="BJM28" s="1348"/>
      <c r="BJR28" s="1347"/>
      <c r="BJS28" s="1348"/>
      <c r="BJX28" s="1347"/>
      <c r="BJY28" s="1348"/>
      <c r="BKD28" s="1347"/>
      <c r="BKE28" s="1348"/>
      <c r="BKJ28" s="1347"/>
      <c r="BKK28" s="1348"/>
      <c r="BKP28" s="1347"/>
      <c r="BKQ28" s="1348"/>
      <c r="BKV28" s="1347"/>
      <c r="BKW28" s="1348"/>
      <c r="BLB28" s="1347"/>
      <c r="BLC28" s="1348"/>
      <c r="BLH28" s="1347"/>
      <c r="BLI28" s="1348"/>
      <c r="BLN28" s="1347"/>
      <c r="BLO28" s="1348"/>
      <c r="BLT28" s="1347"/>
      <c r="BLU28" s="1348"/>
      <c r="BLZ28" s="1347"/>
      <c r="BMA28" s="1348"/>
      <c r="BMF28" s="1347"/>
      <c r="BMG28" s="1348"/>
      <c r="BML28" s="1347"/>
      <c r="BMM28" s="1348"/>
      <c r="BMR28" s="1347"/>
      <c r="BMS28" s="1348"/>
      <c r="BMX28" s="1347"/>
      <c r="BMY28" s="1348"/>
      <c r="BND28" s="1347"/>
      <c r="BNE28" s="1348"/>
      <c r="BNJ28" s="1347"/>
      <c r="BNK28" s="1348"/>
      <c r="BNP28" s="1347"/>
      <c r="BNQ28" s="1348"/>
      <c r="BNV28" s="1347"/>
      <c r="BNW28" s="1348"/>
      <c r="BOB28" s="1347"/>
      <c r="BOC28" s="1348"/>
      <c r="BOH28" s="1347"/>
      <c r="BOI28" s="1348"/>
      <c r="BON28" s="1347"/>
      <c r="BOO28" s="1348"/>
      <c r="BOT28" s="1347"/>
      <c r="BOU28" s="1348"/>
      <c r="BOZ28" s="1347"/>
      <c r="BPA28" s="1348"/>
      <c r="BPF28" s="1347"/>
      <c r="BPG28" s="1348"/>
      <c r="BPL28" s="1347"/>
      <c r="BPM28" s="1348"/>
      <c r="BPR28" s="1347"/>
      <c r="BPS28" s="1348"/>
      <c r="BPX28" s="1347"/>
      <c r="BPY28" s="1348"/>
      <c r="BQD28" s="1347"/>
      <c r="BQE28" s="1348"/>
      <c r="BQJ28" s="1347"/>
      <c r="BQK28" s="1348"/>
      <c r="BQP28" s="1347"/>
      <c r="BQQ28" s="1348"/>
      <c r="BQV28" s="1347"/>
      <c r="BQW28" s="1348"/>
      <c r="BRB28" s="1347"/>
      <c r="BRC28" s="1348"/>
      <c r="BRH28" s="1347"/>
      <c r="BRI28" s="1348"/>
      <c r="BRN28" s="1347"/>
      <c r="BRO28" s="1348"/>
      <c r="BRT28" s="1347"/>
      <c r="BRU28" s="1348"/>
      <c r="BRZ28" s="1347"/>
      <c r="BSA28" s="1348"/>
      <c r="BSF28" s="1347"/>
      <c r="BSG28" s="1348"/>
      <c r="BSL28" s="1347"/>
      <c r="BSM28" s="1348"/>
      <c r="BSR28" s="1347"/>
      <c r="BSS28" s="1348"/>
      <c r="BSX28" s="1347"/>
      <c r="BSY28" s="1348"/>
      <c r="BTD28" s="1347"/>
      <c r="BTE28" s="1348"/>
      <c r="BTJ28" s="1347"/>
      <c r="BTK28" s="1348"/>
      <c r="BTP28" s="1347"/>
      <c r="BTQ28" s="1348"/>
      <c r="BTV28" s="1347"/>
      <c r="BTW28" s="1348"/>
      <c r="BUB28" s="1347"/>
      <c r="BUC28" s="1348"/>
      <c r="BUH28" s="1347"/>
      <c r="BUI28" s="1348"/>
      <c r="BUN28" s="1347"/>
      <c r="BUO28" s="1348"/>
      <c r="BUT28" s="1347"/>
      <c r="BUU28" s="1348"/>
      <c r="BUZ28" s="1347"/>
      <c r="BVA28" s="1348"/>
      <c r="BVF28" s="1347"/>
      <c r="BVG28" s="1348"/>
      <c r="BVL28" s="1347"/>
      <c r="BVM28" s="1348"/>
      <c r="BVR28" s="1347"/>
      <c r="BVS28" s="1348"/>
      <c r="BVX28" s="1347"/>
      <c r="BVY28" s="1348"/>
      <c r="BWD28" s="1347"/>
      <c r="BWE28" s="1348"/>
      <c r="BWJ28" s="1347"/>
      <c r="BWK28" s="1348"/>
      <c r="BWP28" s="1347"/>
      <c r="BWQ28" s="1348"/>
      <c r="BWV28" s="1347"/>
      <c r="BWW28" s="1348"/>
      <c r="BXB28" s="1347"/>
      <c r="BXC28" s="1348"/>
      <c r="BXH28" s="1347"/>
      <c r="BXI28" s="1348"/>
      <c r="BXN28" s="1347"/>
      <c r="BXO28" s="1348"/>
      <c r="BXT28" s="1347"/>
      <c r="BXU28" s="1348"/>
      <c r="BXZ28" s="1347"/>
      <c r="BYA28" s="1348"/>
      <c r="BYF28" s="1347"/>
      <c r="BYG28" s="1348"/>
      <c r="BYL28" s="1347"/>
      <c r="BYM28" s="1348"/>
      <c r="BYR28" s="1347"/>
      <c r="BYS28" s="1348"/>
      <c r="BYX28" s="1347"/>
      <c r="BYY28" s="1348"/>
      <c r="BZD28" s="1347"/>
      <c r="BZE28" s="1348"/>
      <c r="BZJ28" s="1347"/>
      <c r="BZK28" s="1348"/>
      <c r="BZP28" s="1347"/>
      <c r="BZQ28" s="1348"/>
      <c r="BZV28" s="1347"/>
      <c r="BZW28" s="1348"/>
      <c r="CAB28" s="1347"/>
      <c r="CAC28" s="1348"/>
      <c r="CAH28" s="1347"/>
      <c r="CAI28" s="1348"/>
      <c r="CAN28" s="1347"/>
      <c r="CAO28" s="1348"/>
      <c r="CAT28" s="1347"/>
      <c r="CAU28" s="1348"/>
      <c r="CAZ28" s="1347"/>
      <c r="CBA28" s="1348"/>
      <c r="CBF28" s="1347"/>
      <c r="CBG28" s="1348"/>
      <c r="CBL28" s="1347"/>
      <c r="CBM28" s="1348"/>
      <c r="CBR28" s="1347"/>
      <c r="CBS28" s="1348"/>
      <c r="CBX28" s="1347"/>
      <c r="CBY28" s="1348"/>
      <c r="CCD28" s="1347"/>
      <c r="CCE28" s="1348"/>
      <c r="CCJ28" s="1347"/>
      <c r="CCK28" s="1348"/>
      <c r="CCP28" s="1347"/>
      <c r="CCQ28" s="1348"/>
      <c r="CCV28" s="1347"/>
      <c r="CCW28" s="1348"/>
      <c r="CDB28" s="1347"/>
      <c r="CDC28" s="1348"/>
      <c r="CDH28" s="1347"/>
      <c r="CDI28" s="1348"/>
      <c r="CDN28" s="1347"/>
      <c r="CDO28" s="1348"/>
      <c r="CDT28" s="1347"/>
      <c r="CDU28" s="1348"/>
      <c r="CDZ28" s="1347"/>
      <c r="CEA28" s="1348"/>
      <c r="CEF28" s="1347"/>
      <c r="CEG28" s="1348"/>
      <c r="CEL28" s="1347"/>
      <c r="CEM28" s="1348"/>
      <c r="CER28" s="1347"/>
      <c r="CES28" s="1348"/>
      <c r="CEX28" s="1347"/>
      <c r="CEY28" s="1348"/>
      <c r="CFD28" s="1347"/>
      <c r="CFE28" s="1348"/>
      <c r="CFJ28" s="1347"/>
      <c r="CFK28" s="1348"/>
      <c r="CFP28" s="1347"/>
      <c r="CFQ28" s="1348"/>
      <c r="CFV28" s="1347"/>
      <c r="CFW28" s="1348"/>
      <c r="CGB28" s="1347"/>
      <c r="CGC28" s="1348"/>
      <c r="CGH28" s="1347"/>
      <c r="CGI28" s="1348"/>
      <c r="CGN28" s="1347"/>
      <c r="CGO28" s="1348"/>
      <c r="CGT28" s="1347"/>
      <c r="CGU28" s="1348"/>
      <c r="CGZ28" s="1347"/>
      <c r="CHA28" s="1348"/>
      <c r="CHF28" s="1347"/>
      <c r="CHG28" s="1348"/>
      <c r="CHL28" s="1347"/>
      <c r="CHM28" s="1348"/>
      <c r="CHR28" s="1347"/>
      <c r="CHS28" s="1348"/>
      <c r="CHX28" s="1347"/>
      <c r="CHY28" s="1348"/>
      <c r="CID28" s="1347"/>
      <c r="CIE28" s="1348"/>
      <c r="CIJ28" s="1347"/>
      <c r="CIK28" s="1348"/>
      <c r="CIP28" s="1347"/>
      <c r="CIQ28" s="1348"/>
      <c r="CIV28" s="1347"/>
      <c r="CIW28" s="1348"/>
      <c r="CJB28" s="1347"/>
      <c r="CJC28" s="1348"/>
      <c r="CJH28" s="1347"/>
      <c r="CJI28" s="1348"/>
      <c r="CJN28" s="1347"/>
      <c r="CJO28" s="1348"/>
      <c r="CJT28" s="1347"/>
      <c r="CJU28" s="1348"/>
      <c r="CJZ28" s="1347"/>
      <c r="CKA28" s="1348"/>
      <c r="CKF28" s="1347"/>
      <c r="CKG28" s="1348"/>
      <c r="CKL28" s="1347"/>
      <c r="CKM28" s="1348"/>
      <c r="CKR28" s="1347"/>
      <c r="CKS28" s="1348"/>
      <c r="CKX28" s="1347"/>
      <c r="CKY28" s="1348"/>
      <c r="CLD28" s="1347"/>
      <c r="CLE28" s="1348"/>
      <c r="CLJ28" s="1347"/>
      <c r="CLK28" s="1348"/>
      <c r="CLP28" s="1347"/>
      <c r="CLQ28" s="1348"/>
      <c r="CLV28" s="1347"/>
      <c r="CLW28" s="1348"/>
      <c r="CMB28" s="1347"/>
      <c r="CMC28" s="1348"/>
      <c r="CMH28" s="1347"/>
      <c r="CMI28" s="1348"/>
      <c r="CMN28" s="1347"/>
      <c r="CMO28" s="1348"/>
      <c r="CMT28" s="1347"/>
      <c r="CMU28" s="1348"/>
      <c r="CMZ28" s="1347"/>
      <c r="CNA28" s="1348"/>
      <c r="CNF28" s="1347"/>
      <c r="CNG28" s="1348"/>
      <c r="CNL28" s="1347"/>
      <c r="CNM28" s="1348"/>
      <c r="CNR28" s="1347"/>
      <c r="CNS28" s="1348"/>
      <c r="CNX28" s="1347"/>
      <c r="CNY28" s="1348"/>
      <c r="COD28" s="1347"/>
      <c r="COE28" s="1348"/>
      <c r="COJ28" s="1347"/>
      <c r="COK28" s="1348"/>
      <c r="COP28" s="1347"/>
      <c r="COQ28" s="1348"/>
      <c r="COV28" s="1347"/>
      <c r="COW28" s="1348"/>
      <c r="CPB28" s="1347"/>
      <c r="CPC28" s="1348"/>
      <c r="CPH28" s="1347"/>
      <c r="CPI28" s="1348"/>
      <c r="CPN28" s="1347"/>
      <c r="CPO28" s="1348"/>
      <c r="CPT28" s="1347"/>
      <c r="CPU28" s="1348"/>
      <c r="CPZ28" s="1347"/>
      <c r="CQA28" s="1348"/>
      <c r="CQF28" s="1347"/>
      <c r="CQG28" s="1348"/>
      <c r="CQL28" s="1347"/>
      <c r="CQM28" s="1348"/>
      <c r="CQR28" s="1347"/>
      <c r="CQS28" s="1348"/>
      <c r="CQX28" s="1347"/>
      <c r="CQY28" s="1348"/>
      <c r="CRD28" s="1347"/>
      <c r="CRE28" s="1348"/>
      <c r="CRJ28" s="1347"/>
      <c r="CRK28" s="1348"/>
      <c r="CRP28" s="1347"/>
      <c r="CRQ28" s="1348"/>
      <c r="CRV28" s="1347"/>
      <c r="CRW28" s="1348"/>
      <c r="CSB28" s="1347"/>
      <c r="CSC28" s="1348"/>
      <c r="CSH28" s="1347"/>
      <c r="CSI28" s="1348"/>
      <c r="CSN28" s="1347"/>
      <c r="CSO28" s="1348"/>
      <c r="CST28" s="1347"/>
      <c r="CSU28" s="1348"/>
      <c r="CSZ28" s="1347"/>
      <c r="CTA28" s="1348"/>
      <c r="CTF28" s="1347"/>
      <c r="CTG28" s="1348"/>
      <c r="CTL28" s="1347"/>
      <c r="CTM28" s="1348"/>
      <c r="CTR28" s="1347"/>
      <c r="CTS28" s="1348"/>
      <c r="CTX28" s="1347"/>
      <c r="CTY28" s="1348"/>
      <c r="CUD28" s="1347"/>
      <c r="CUE28" s="1348"/>
      <c r="CUJ28" s="1347"/>
      <c r="CUK28" s="1348"/>
      <c r="CUP28" s="1347"/>
      <c r="CUQ28" s="1348"/>
      <c r="CUV28" s="1347"/>
      <c r="CUW28" s="1348"/>
      <c r="CVB28" s="1347"/>
      <c r="CVC28" s="1348"/>
      <c r="CVH28" s="1347"/>
      <c r="CVI28" s="1348"/>
      <c r="CVN28" s="1347"/>
      <c r="CVO28" s="1348"/>
      <c r="CVT28" s="1347"/>
      <c r="CVU28" s="1348"/>
      <c r="CVZ28" s="1347"/>
      <c r="CWA28" s="1348"/>
      <c r="CWF28" s="1347"/>
      <c r="CWG28" s="1348"/>
      <c r="CWL28" s="1347"/>
      <c r="CWM28" s="1348"/>
      <c r="CWR28" s="1347"/>
      <c r="CWS28" s="1348"/>
      <c r="CWX28" s="1347"/>
      <c r="CWY28" s="1348"/>
      <c r="CXD28" s="1347"/>
      <c r="CXE28" s="1348"/>
      <c r="CXJ28" s="1347"/>
      <c r="CXK28" s="1348"/>
      <c r="CXP28" s="1347"/>
      <c r="CXQ28" s="1348"/>
      <c r="CXV28" s="1347"/>
      <c r="CXW28" s="1348"/>
      <c r="CYB28" s="1347"/>
      <c r="CYC28" s="1348"/>
      <c r="CYH28" s="1347"/>
      <c r="CYI28" s="1348"/>
      <c r="CYN28" s="1347"/>
      <c r="CYO28" s="1348"/>
      <c r="CYT28" s="1347"/>
      <c r="CYU28" s="1348"/>
      <c r="CYZ28" s="1347"/>
      <c r="CZA28" s="1348"/>
      <c r="CZF28" s="1347"/>
      <c r="CZG28" s="1348"/>
      <c r="CZL28" s="1347"/>
      <c r="CZM28" s="1348"/>
      <c r="CZR28" s="1347"/>
      <c r="CZS28" s="1348"/>
      <c r="CZX28" s="1347"/>
      <c r="CZY28" s="1348"/>
      <c r="DAD28" s="1347"/>
      <c r="DAE28" s="1348"/>
      <c r="DAJ28" s="1347"/>
      <c r="DAK28" s="1348"/>
      <c r="DAP28" s="1347"/>
      <c r="DAQ28" s="1348"/>
      <c r="DAV28" s="1347"/>
      <c r="DAW28" s="1348"/>
      <c r="DBB28" s="1347"/>
      <c r="DBC28" s="1348"/>
      <c r="DBH28" s="1347"/>
      <c r="DBI28" s="1348"/>
      <c r="DBN28" s="1347"/>
      <c r="DBO28" s="1348"/>
      <c r="DBT28" s="1347"/>
      <c r="DBU28" s="1348"/>
      <c r="DBZ28" s="1347"/>
      <c r="DCA28" s="1348"/>
      <c r="DCF28" s="1347"/>
      <c r="DCG28" s="1348"/>
      <c r="DCL28" s="1347"/>
      <c r="DCM28" s="1348"/>
      <c r="DCR28" s="1347"/>
      <c r="DCS28" s="1348"/>
      <c r="DCX28" s="1347"/>
      <c r="DCY28" s="1348"/>
      <c r="DDD28" s="1347"/>
      <c r="DDE28" s="1348"/>
      <c r="DDJ28" s="1347"/>
      <c r="DDK28" s="1348"/>
      <c r="DDP28" s="1347"/>
      <c r="DDQ28" s="1348"/>
      <c r="DDV28" s="1347"/>
      <c r="DDW28" s="1348"/>
      <c r="DEB28" s="1347"/>
      <c r="DEC28" s="1348"/>
      <c r="DEH28" s="1347"/>
      <c r="DEI28" s="1348"/>
      <c r="DEN28" s="1347"/>
      <c r="DEO28" s="1348"/>
      <c r="DET28" s="1347"/>
      <c r="DEU28" s="1348"/>
      <c r="DEZ28" s="1347"/>
      <c r="DFA28" s="1348"/>
      <c r="DFF28" s="1347"/>
      <c r="DFG28" s="1348"/>
      <c r="DFL28" s="1347"/>
      <c r="DFM28" s="1348"/>
      <c r="DFR28" s="1347"/>
      <c r="DFS28" s="1348"/>
      <c r="DFX28" s="1347"/>
      <c r="DFY28" s="1348"/>
      <c r="DGD28" s="1347"/>
      <c r="DGE28" s="1348"/>
      <c r="DGJ28" s="1347"/>
      <c r="DGK28" s="1348"/>
      <c r="DGP28" s="1347"/>
      <c r="DGQ28" s="1348"/>
      <c r="DGV28" s="1347"/>
      <c r="DGW28" s="1348"/>
      <c r="DHB28" s="1347"/>
      <c r="DHC28" s="1348"/>
      <c r="DHH28" s="1347"/>
      <c r="DHI28" s="1348"/>
      <c r="DHN28" s="1347"/>
      <c r="DHO28" s="1348"/>
      <c r="DHT28" s="1347"/>
      <c r="DHU28" s="1348"/>
      <c r="DHZ28" s="1347"/>
      <c r="DIA28" s="1348"/>
      <c r="DIF28" s="1347"/>
      <c r="DIG28" s="1348"/>
      <c r="DIL28" s="1347"/>
      <c r="DIM28" s="1348"/>
      <c r="DIR28" s="1347"/>
      <c r="DIS28" s="1348"/>
      <c r="DIX28" s="1347"/>
      <c r="DIY28" s="1348"/>
      <c r="DJD28" s="1347"/>
      <c r="DJE28" s="1348"/>
      <c r="DJJ28" s="1347"/>
      <c r="DJK28" s="1348"/>
      <c r="DJP28" s="1347"/>
      <c r="DJQ28" s="1348"/>
      <c r="DJV28" s="1347"/>
      <c r="DJW28" s="1348"/>
      <c r="DKB28" s="1347"/>
      <c r="DKC28" s="1348"/>
      <c r="DKH28" s="1347"/>
      <c r="DKI28" s="1348"/>
      <c r="DKN28" s="1347"/>
      <c r="DKO28" s="1348"/>
      <c r="DKT28" s="1347"/>
      <c r="DKU28" s="1348"/>
      <c r="DKZ28" s="1347"/>
      <c r="DLA28" s="1348"/>
      <c r="DLF28" s="1347"/>
      <c r="DLG28" s="1348"/>
      <c r="DLL28" s="1347"/>
      <c r="DLM28" s="1348"/>
      <c r="DLR28" s="1347"/>
      <c r="DLS28" s="1348"/>
      <c r="DLX28" s="1347"/>
      <c r="DLY28" s="1348"/>
      <c r="DMD28" s="1347"/>
      <c r="DME28" s="1348"/>
      <c r="DMJ28" s="1347"/>
      <c r="DMK28" s="1348"/>
      <c r="DMP28" s="1347"/>
      <c r="DMQ28" s="1348"/>
      <c r="DMV28" s="1347"/>
      <c r="DMW28" s="1348"/>
      <c r="DNB28" s="1347"/>
      <c r="DNC28" s="1348"/>
      <c r="DNH28" s="1347"/>
      <c r="DNI28" s="1348"/>
      <c r="DNN28" s="1347"/>
      <c r="DNO28" s="1348"/>
      <c r="DNT28" s="1347"/>
      <c r="DNU28" s="1348"/>
      <c r="DNZ28" s="1347"/>
      <c r="DOA28" s="1348"/>
      <c r="DOF28" s="1347"/>
      <c r="DOG28" s="1348"/>
      <c r="DOL28" s="1347"/>
      <c r="DOM28" s="1348"/>
      <c r="DOR28" s="1347"/>
      <c r="DOS28" s="1348"/>
      <c r="DOX28" s="1347"/>
      <c r="DOY28" s="1348"/>
      <c r="DPD28" s="1347"/>
      <c r="DPE28" s="1348"/>
      <c r="DPJ28" s="1347"/>
      <c r="DPK28" s="1348"/>
      <c r="DPP28" s="1347"/>
      <c r="DPQ28" s="1348"/>
      <c r="DPV28" s="1347"/>
      <c r="DPW28" s="1348"/>
      <c r="DQB28" s="1347"/>
      <c r="DQC28" s="1348"/>
      <c r="DQH28" s="1347"/>
      <c r="DQI28" s="1348"/>
      <c r="DQN28" s="1347"/>
      <c r="DQO28" s="1348"/>
      <c r="DQT28" s="1347"/>
      <c r="DQU28" s="1348"/>
      <c r="DQZ28" s="1347"/>
      <c r="DRA28" s="1348"/>
      <c r="DRF28" s="1347"/>
      <c r="DRG28" s="1348"/>
      <c r="DRL28" s="1347"/>
      <c r="DRM28" s="1348"/>
      <c r="DRR28" s="1347"/>
      <c r="DRS28" s="1348"/>
      <c r="DRX28" s="1347"/>
      <c r="DRY28" s="1348"/>
      <c r="DSD28" s="1347"/>
      <c r="DSE28" s="1348"/>
      <c r="DSJ28" s="1347"/>
      <c r="DSK28" s="1348"/>
      <c r="DSP28" s="1347"/>
      <c r="DSQ28" s="1348"/>
      <c r="DSV28" s="1347"/>
      <c r="DSW28" s="1348"/>
      <c r="DTB28" s="1347"/>
      <c r="DTC28" s="1348"/>
      <c r="DTH28" s="1347"/>
      <c r="DTI28" s="1348"/>
      <c r="DTN28" s="1347"/>
      <c r="DTO28" s="1348"/>
      <c r="DTT28" s="1347"/>
      <c r="DTU28" s="1348"/>
      <c r="DTZ28" s="1347"/>
      <c r="DUA28" s="1348"/>
      <c r="DUF28" s="1347"/>
      <c r="DUG28" s="1348"/>
      <c r="DUL28" s="1347"/>
      <c r="DUM28" s="1348"/>
      <c r="DUR28" s="1347"/>
      <c r="DUS28" s="1348"/>
      <c r="DUX28" s="1347"/>
      <c r="DUY28" s="1348"/>
      <c r="DVD28" s="1347"/>
      <c r="DVE28" s="1348"/>
      <c r="DVJ28" s="1347"/>
      <c r="DVK28" s="1348"/>
      <c r="DVP28" s="1347"/>
      <c r="DVQ28" s="1348"/>
      <c r="DVV28" s="1347"/>
      <c r="DVW28" s="1348"/>
      <c r="DWB28" s="1347"/>
      <c r="DWC28" s="1348"/>
      <c r="DWH28" s="1347"/>
      <c r="DWI28" s="1348"/>
      <c r="DWN28" s="1347"/>
      <c r="DWO28" s="1348"/>
      <c r="DWT28" s="1347"/>
      <c r="DWU28" s="1348"/>
      <c r="DWZ28" s="1347"/>
      <c r="DXA28" s="1348"/>
      <c r="DXF28" s="1347"/>
      <c r="DXG28" s="1348"/>
      <c r="DXL28" s="1347"/>
      <c r="DXM28" s="1348"/>
      <c r="DXR28" s="1347"/>
      <c r="DXS28" s="1348"/>
      <c r="DXX28" s="1347"/>
      <c r="DXY28" s="1348"/>
      <c r="DYD28" s="1347"/>
      <c r="DYE28" s="1348"/>
      <c r="DYJ28" s="1347"/>
      <c r="DYK28" s="1348"/>
      <c r="DYP28" s="1347"/>
      <c r="DYQ28" s="1348"/>
      <c r="DYV28" s="1347"/>
      <c r="DYW28" s="1348"/>
      <c r="DZB28" s="1347"/>
      <c r="DZC28" s="1348"/>
      <c r="DZH28" s="1347"/>
      <c r="DZI28" s="1348"/>
      <c r="DZN28" s="1347"/>
      <c r="DZO28" s="1348"/>
      <c r="DZT28" s="1347"/>
      <c r="DZU28" s="1348"/>
      <c r="DZZ28" s="1347"/>
      <c r="EAA28" s="1348"/>
      <c r="EAF28" s="1347"/>
      <c r="EAG28" s="1348"/>
      <c r="EAL28" s="1347"/>
      <c r="EAM28" s="1348"/>
      <c r="EAR28" s="1347"/>
      <c r="EAS28" s="1348"/>
      <c r="EAX28" s="1347"/>
      <c r="EAY28" s="1348"/>
      <c r="EBD28" s="1347"/>
      <c r="EBE28" s="1348"/>
      <c r="EBJ28" s="1347"/>
      <c r="EBK28" s="1348"/>
      <c r="EBP28" s="1347"/>
      <c r="EBQ28" s="1348"/>
      <c r="EBV28" s="1347"/>
      <c r="EBW28" s="1348"/>
      <c r="ECB28" s="1347"/>
      <c r="ECC28" s="1348"/>
      <c r="ECH28" s="1347"/>
      <c r="ECI28" s="1348"/>
      <c r="ECN28" s="1347"/>
      <c r="ECO28" s="1348"/>
      <c r="ECT28" s="1347"/>
      <c r="ECU28" s="1348"/>
      <c r="ECZ28" s="1347"/>
      <c r="EDA28" s="1348"/>
      <c r="EDF28" s="1347"/>
      <c r="EDG28" s="1348"/>
      <c r="EDL28" s="1347"/>
      <c r="EDM28" s="1348"/>
      <c r="EDR28" s="1347"/>
      <c r="EDS28" s="1348"/>
      <c r="EDX28" s="1347"/>
      <c r="EDY28" s="1348"/>
      <c r="EED28" s="1347"/>
      <c r="EEE28" s="1348"/>
      <c r="EEJ28" s="1347"/>
      <c r="EEK28" s="1348"/>
      <c r="EEP28" s="1347"/>
      <c r="EEQ28" s="1348"/>
      <c r="EEV28" s="1347"/>
      <c r="EEW28" s="1348"/>
      <c r="EFB28" s="1347"/>
      <c r="EFC28" s="1348"/>
      <c r="EFH28" s="1347"/>
      <c r="EFI28" s="1348"/>
      <c r="EFN28" s="1347"/>
      <c r="EFO28" s="1348"/>
      <c r="EFT28" s="1347"/>
      <c r="EFU28" s="1348"/>
      <c r="EFZ28" s="1347"/>
      <c r="EGA28" s="1348"/>
      <c r="EGF28" s="1347"/>
      <c r="EGG28" s="1348"/>
      <c r="EGL28" s="1347"/>
      <c r="EGM28" s="1348"/>
      <c r="EGR28" s="1347"/>
      <c r="EGS28" s="1348"/>
      <c r="EGX28" s="1347"/>
      <c r="EGY28" s="1348"/>
      <c r="EHD28" s="1347"/>
      <c r="EHE28" s="1348"/>
      <c r="EHJ28" s="1347"/>
      <c r="EHK28" s="1348"/>
      <c r="EHP28" s="1347"/>
      <c r="EHQ28" s="1348"/>
      <c r="EHV28" s="1347"/>
      <c r="EHW28" s="1348"/>
      <c r="EIB28" s="1347"/>
      <c r="EIC28" s="1348"/>
      <c r="EIH28" s="1347"/>
      <c r="EII28" s="1348"/>
      <c r="EIN28" s="1347"/>
      <c r="EIO28" s="1348"/>
      <c r="EIT28" s="1347"/>
      <c r="EIU28" s="1348"/>
      <c r="EIZ28" s="1347"/>
      <c r="EJA28" s="1348"/>
      <c r="EJF28" s="1347"/>
      <c r="EJG28" s="1348"/>
      <c r="EJL28" s="1347"/>
      <c r="EJM28" s="1348"/>
      <c r="EJR28" s="1347"/>
      <c r="EJS28" s="1348"/>
      <c r="EJX28" s="1347"/>
      <c r="EJY28" s="1348"/>
      <c r="EKD28" s="1347"/>
      <c r="EKE28" s="1348"/>
      <c r="EKJ28" s="1347"/>
      <c r="EKK28" s="1348"/>
      <c r="EKP28" s="1347"/>
      <c r="EKQ28" s="1348"/>
      <c r="EKV28" s="1347"/>
      <c r="EKW28" s="1348"/>
      <c r="ELB28" s="1347"/>
      <c r="ELC28" s="1348"/>
      <c r="ELH28" s="1347"/>
      <c r="ELI28" s="1348"/>
      <c r="ELN28" s="1347"/>
      <c r="ELO28" s="1348"/>
      <c r="ELT28" s="1347"/>
      <c r="ELU28" s="1348"/>
      <c r="ELZ28" s="1347"/>
      <c r="EMA28" s="1348"/>
      <c r="EMF28" s="1347"/>
      <c r="EMG28" s="1348"/>
      <c r="EML28" s="1347"/>
      <c r="EMM28" s="1348"/>
      <c r="EMR28" s="1347"/>
      <c r="EMS28" s="1348"/>
      <c r="EMX28" s="1347"/>
      <c r="EMY28" s="1348"/>
      <c r="END28" s="1347"/>
      <c r="ENE28" s="1348"/>
      <c r="ENJ28" s="1347"/>
      <c r="ENK28" s="1348"/>
      <c r="ENP28" s="1347"/>
      <c r="ENQ28" s="1348"/>
      <c r="ENV28" s="1347"/>
      <c r="ENW28" s="1348"/>
      <c r="EOB28" s="1347"/>
      <c r="EOC28" s="1348"/>
      <c r="EOH28" s="1347"/>
      <c r="EOI28" s="1348"/>
      <c r="EON28" s="1347"/>
      <c r="EOO28" s="1348"/>
      <c r="EOT28" s="1347"/>
      <c r="EOU28" s="1348"/>
      <c r="EOZ28" s="1347"/>
      <c r="EPA28" s="1348"/>
      <c r="EPF28" s="1347"/>
      <c r="EPG28" s="1348"/>
      <c r="EPL28" s="1347"/>
      <c r="EPM28" s="1348"/>
      <c r="EPR28" s="1347"/>
      <c r="EPS28" s="1348"/>
      <c r="EPX28" s="1347"/>
      <c r="EPY28" s="1348"/>
      <c r="EQD28" s="1347"/>
      <c r="EQE28" s="1348"/>
      <c r="EQJ28" s="1347"/>
      <c r="EQK28" s="1348"/>
      <c r="EQP28" s="1347"/>
      <c r="EQQ28" s="1348"/>
      <c r="EQV28" s="1347"/>
      <c r="EQW28" s="1348"/>
      <c r="ERB28" s="1347"/>
      <c r="ERC28" s="1348"/>
      <c r="ERH28" s="1347"/>
      <c r="ERI28" s="1348"/>
      <c r="ERN28" s="1347"/>
      <c r="ERO28" s="1348"/>
      <c r="ERT28" s="1347"/>
      <c r="ERU28" s="1348"/>
      <c r="ERZ28" s="1347"/>
      <c r="ESA28" s="1348"/>
      <c r="ESF28" s="1347"/>
      <c r="ESG28" s="1348"/>
      <c r="ESL28" s="1347"/>
      <c r="ESM28" s="1348"/>
      <c r="ESR28" s="1347"/>
      <c r="ESS28" s="1348"/>
      <c r="ESX28" s="1347"/>
      <c r="ESY28" s="1348"/>
      <c r="ETD28" s="1347"/>
      <c r="ETE28" s="1348"/>
      <c r="ETJ28" s="1347"/>
      <c r="ETK28" s="1348"/>
      <c r="ETP28" s="1347"/>
      <c r="ETQ28" s="1348"/>
      <c r="ETV28" s="1347"/>
      <c r="ETW28" s="1348"/>
      <c r="EUB28" s="1347"/>
      <c r="EUC28" s="1348"/>
      <c r="EUH28" s="1347"/>
      <c r="EUI28" s="1348"/>
      <c r="EUN28" s="1347"/>
      <c r="EUO28" s="1348"/>
      <c r="EUT28" s="1347"/>
      <c r="EUU28" s="1348"/>
      <c r="EUZ28" s="1347"/>
      <c r="EVA28" s="1348"/>
      <c r="EVF28" s="1347"/>
      <c r="EVG28" s="1348"/>
      <c r="EVL28" s="1347"/>
      <c r="EVM28" s="1348"/>
      <c r="EVR28" s="1347"/>
      <c r="EVS28" s="1348"/>
      <c r="EVX28" s="1347"/>
      <c r="EVY28" s="1348"/>
      <c r="EWD28" s="1347"/>
      <c r="EWE28" s="1348"/>
      <c r="EWJ28" s="1347"/>
      <c r="EWK28" s="1348"/>
      <c r="EWP28" s="1347"/>
      <c r="EWQ28" s="1348"/>
      <c r="EWV28" s="1347"/>
      <c r="EWW28" s="1348"/>
      <c r="EXB28" s="1347"/>
      <c r="EXC28" s="1348"/>
      <c r="EXH28" s="1347"/>
      <c r="EXI28" s="1348"/>
      <c r="EXN28" s="1347"/>
      <c r="EXO28" s="1348"/>
      <c r="EXT28" s="1347"/>
      <c r="EXU28" s="1348"/>
      <c r="EXZ28" s="1347"/>
      <c r="EYA28" s="1348"/>
      <c r="EYF28" s="1347"/>
      <c r="EYG28" s="1348"/>
      <c r="EYL28" s="1347"/>
      <c r="EYM28" s="1348"/>
      <c r="EYR28" s="1347"/>
      <c r="EYS28" s="1348"/>
      <c r="EYX28" s="1347"/>
      <c r="EYY28" s="1348"/>
      <c r="EZD28" s="1347"/>
      <c r="EZE28" s="1348"/>
      <c r="EZJ28" s="1347"/>
      <c r="EZK28" s="1348"/>
      <c r="EZP28" s="1347"/>
      <c r="EZQ28" s="1348"/>
      <c r="EZV28" s="1347"/>
      <c r="EZW28" s="1348"/>
      <c r="FAB28" s="1347"/>
      <c r="FAC28" s="1348"/>
      <c r="FAH28" s="1347"/>
      <c r="FAI28" s="1348"/>
      <c r="FAN28" s="1347"/>
      <c r="FAO28" s="1348"/>
      <c r="FAT28" s="1347"/>
      <c r="FAU28" s="1348"/>
      <c r="FAZ28" s="1347"/>
      <c r="FBA28" s="1348"/>
      <c r="FBF28" s="1347"/>
      <c r="FBG28" s="1348"/>
      <c r="FBL28" s="1347"/>
      <c r="FBM28" s="1348"/>
      <c r="FBR28" s="1347"/>
      <c r="FBS28" s="1348"/>
      <c r="FBX28" s="1347"/>
      <c r="FBY28" s="1348"/>
      <c r="FCD28" s="1347"/>
      <c r="FCE28" s="1348"/>
      <c r="FCJ28" s="1347"/>
      <c r="FCK28" s="1348"/>
      <c r="FCP28" s="1347"/>
      <c r="FCQ28" s="1348"/>
      <c r="FCV28" s="1347"/>
      <c r="FCW28" s="1348"/>
      <c r="FDB28" s="1347"/>
      <c r="FDC28" s="1348"/>
      <c r="FDH28" s="1347"/>
      <c r="FDI28" s="1348"/>
      <c r="FDN28" s="1347"/>
      <c r="FDO28" s="1348"/>
      <c r="FDT28" s="1347"/>
      <c r="FDU28" s="1348"/>
      <c r="FDZ28" s="1347"/>
      <c r="FEA28" s="1348"/>
      <c r="FEF28" s="1347"/>
      <c r="FEG28" s="1348"/>
      <c r="FEL28" s="1347"/>
      <c r="FEM28" s="1348"/>
      <c r="FER28" s="1347"/>
      <c r="FES28" s="1348"/>
      <c r="FEX28" s="1347"/>
      <c r="FEY28" s="1348"/>
      <c r="FFD28" s="1347"/>
      <c r="FFE28" s="1348"/>
      <c r="FFJ28" s="1347"/>
      <c r="FFK28" s="1348"/>
      <c r="FFP28" s="1347"/>
      <c r="FFQ28" s="1348"/>
      <c r="FFV28" s="1347"/>
      <c r="FFW28" s="1348"/>
      <c r="FGB28" s="1347"/>
      <c r="FGC28" s="1348"/>
      <c r="FGH28" s="1347"/>
      <c r="FGI28" s="1348"/>
      <c r="FGN28" s="1347"/>
      <c r="FGO28" s="1348"/>
      <c r="FGT28" s="1347"/>
      <c r="FGU28" s="1348"/>
      <c r="FGZ28" s="1347"/>
      <c r="FHA28" s="1348"/>
      <c r="FHF28" s="1347"/>
      <c r="FHG28" s="1348"/>
      <c r="FHL28" s="1347"/>
      <c r="FHM28" s="1348"/>
      <c r="FHR28" s="1347"/>
      <c r="FHS28" s="1348"/>
      <c r="FHX28" s="1347"/>
      <c r="FHY28" s="1348"/>
      <c r="FID28" s="1347"/>
      <c r="FIE28" s="1348"/>
      <c r="FIJ28" s="1347"/>
      <c r="FIK28" s="1348"/>
      <c r="FIP28" s="1347"/>
      <c r="FIQ28" s="1348"/>
      <c r="FIV28" s="1347"/>
      <c r="FIW28" s="1348"/>
      <c r="FJB28" s="1347"/>
      <c r="FJC28" s="1348"/>
      <c r="FJH28" s="1347"/>
      <c r="FJI28" s="1348"/>
      <c r="FJN28" s="1347"/>
      <c r="FJO28" s="1348"/>
      <c r="FJT28" s="1347"/>
      <c r="FJU28" s="1348"/>
      <c r="FJZ28" s="1347"/>
      <c r="FKA28" s="1348"/>
      <c r="FKF28" s="1347"/>
      <c r="FKG28" s="1348"/>
      <c r="FKL28" s="1347"/>
      <c r="FKM28" s="1348"/>
      <c r="FKR28" s="1347"/>
      <c r="FKS28" s="1348"/>
      <c r="FKX28" s="1347"/>
      <c r="FKY28" s="1348"/>
      <c r="FLD28" s="1347"/>
      <c r="FLE28" s="1348"/>
      <c r="FLJ28" s="1347"/>
      <c r="FLK28" s="1348"/>
      <c r="FLP28" s="1347"/>
      <c r="FLQ28" s="1348"/>
      <c r="FLV28" s="1347"/>
      <c r="FLW28" s="1348"/>
      <c r="FMB28" s="1347"/>
      <c r="FMC28" s="1348"/>
      <c r="FMH28" s="1347"/>
      <c r="FMI28" s="1348"/>
      <c r="FMN28" s="1347"/>
      <c r="FMO28" s="1348"/>
      <c r="FMT28" s="1347"/>
      <c r="FMU28" s="1348"/>
      <c r="FMZ28" s="1347"/>
      <c r="FNA28" s="1348"/>
      <c r="FNF28" s="1347"/>
      <c r="FNG28" s="1348"/>
      <c r="FNL28" s="1347"/>
      <c r="FNM28" s="1348"/>
      <c r="FNR28" s="1347"/>
      <c r="FNS28" s="1348"/>
      <c r="FNX28" s="1347"/>
      <c r="FNY28" s="1348"/>
      <c r="FOD28" s="1347"/>
      <c r="FOE28" s="1348"/>
      <c r="FOJ28" s="1347"/>
      <c r="FOK28" s="1348"/>
      <c r="FOP28" s="1347"/>
      <c r="FOQ28" s="1348"/>
      <c r="FOV28" s="1347"/>
      <c r="FOW28" s="1348"/>
      <c r="FPB28" s="1347"/>
      <c r="FPC28" s="1348"/>
      <c r="FPH28" s="1347"/>
      <c r="FPI28" s="1348"/>
      <c r="FPN28" s="1347"/>
      <c r="FPO28" s="1348"/>
      <c r="FPT28" s="1347"/>
      <c r="FPU28" s="1348"/>
      <c r="FPZ28" s="1347"/>
      <c r="FQA28" s="1348"/>
      <c r="FQF28" s="1347"/>
      <c r="FQG28" s="1348"/>
      <c r="FQL28" s="1347"/>
      <c r="FQM28" s="1348"/>
      <c r="FQR28" s="1347"/>
      <c r="FQS28" s="1348"/>
      <c r="FQX28" s="1347"/>
      <c r="FQY28" s="1348"/>
      <c r="FRD28" s="1347"/>
      <c r="FRE28" s="1348"/>
      <c r="FRJ28" s="1347"/>
      <c r="FRK28" s="1348"/>
      <c r="FRP28" s="1347"/>
      <c r="FRQ28" s="1348"/>
      <c r="FRV28" s="1347"/>
      <c r="FRW28" s="1348"/>
      <c r="FSB28" s="1347"/>
      <c r="FSC28" s="1348"/>
      <c r="FSH28" s="1347"/>
      <c r="FSI28" s="1348"/>
      <c r="FSN28" s="1347"/>
      <c r="FSO28" s="1348"/>
      <c r="FST28" s="1347"/>
      <c r="FSU28" s="1348"/>
      <c r="FSZ28" s="1347"/>
      <c r="FTA28" s="1348"/>
      <c r="FTF28" s="1347"/>
      <c r="FTG28" s="1348"/>
      <c r="FTL28" s="1347"/>
      <c r="FTM28" s="1348"/>
      <c r="FTR28" s="1347"/>
      <c r="FTS28" s="1348"/>
      <c r="FTX28" s="1347"/>
      <c r="FTY28" s="1348"/>
      <c r="FUD28" s="1347"/>
      <c r="FUE28" s="1348"/>
      <c r="FUJ28" s="1347"/>
      <c r="FUK28" s="1348"/>
      <c r="FUP28" s="1347"/>
      <c r="FUQ28" s="1348"/>
      <c r="FUV28" s="1347"/>
      <c r="FUW28" s="1348"/>
      <c r="FVB28" s="1347"/>
      <c r="FVC28" s="1348"/>
      <c r="FVH28" s="1347"/>
      <c r="FVI28" s="1348"/>
      <c r="FVN28" s="1347"/>
      <c r="FVO28" s="1348"/>
      <c r="FVT28" s="1347"/>
      <c r="FVU28" s="1348"/>
      <c r="FVZ28" s="1347"/>
      <c r="FWA28" s="1348"/>
      <c r="FWF28" s="1347"/>
      <c r="FWG28" s="1348"/>
      <c r="FWL28" s="1347"/>
      <c r="FWM28" s="1348"/>
      <c r="FWR28" s="1347"/>
      <c r="FWS28" s="1348"/>
      <c r="FWX28" s="1347"/>
      <c r="FWY28" s="1348"/>
      <c r="FXD28" s="1347"/>
      <c r="FXE28" s="1348"/>
      <c r="FXJ28" s="1347"/>
      <c r="FXK28" s="1348"/>
      <c r="FXP28" s="1347"/>
      <c r="FXQ28" s="1348"/>
      <c r="FXV28" s="1347"/>
      <c r="FXW28" s="1348"/>
      <c r="FYB28" s="1347"/>
      <c r="FYC28" s="1348"/>
      <c r="FYH28" s="1347"/>
      <c r="FYI28" s="1348"/>
      <c r="FYN28" s="1347"/>
      <c r="FYO28" s="1348"/>
      <c r="FYT28" s="1347"/>
      <c r="FYU28" s="1348"/>
      <c r="FYZ28" s="1347"/>
      <c r="FZA28" s="1348"/>
      <c r="FZF28" s="1347"/>
      <c r="FZG28" s="1348"/>
      <c r="FZL28" s="1347"/>
      <c r="FZM28" s="1348"/>
      <c r="FZR28" s="1347"/>
      <c r="FZS28" s="1348"/>
      <c r="FZX28" s="1347"/>
      <c r="FZY28" s="1348"/>
      <c r="GAD28" s="1347"/>
      <c r="GAE28" s="1348"/>
      <c r="GAJ28" s="1347"/>
      <c r="GAK28" s="1348"/>
      <c r="GAP28" s="1347"/>
      <c r="GAQ28" s="1348"/>
      <c r="GAV28" s="1347"/>
      <c r="GAW28" s="1348"/>
      <c r="GBB28" s="1347"/>
      <c r="GBC28" s="1348"/>
      <c r="GBH28" s="1347"/>
      <c r="GBI28" s="1348"/>
      <c r="GBN28" s="1347"/>
      <c r="GBO28" s="1348"/>
      <c r="GBT28" s="1347"/>
      <c r="GBU28" s="1348"/>
      <c r="GBZ28" s="1347"/>
      <c r="GCA28" s="1348"/>
      <c r="GCF28" s="1347"/>
      <c r="GCG28" s="1348"/>
      <c r="GCL28" s="1347"/>
      <c r="GCM28" s="1348"/>
      <c r="GCR28" s="1347"/>
      <c r="GCS28" s="1348"/>
      <c r="GCX28" s="1347"/>
      <c r="GCY28" s="1348"/>
      <c r="GDD28" s="1347"/>
      <c r="GDE28" s="1348"/>
      <c r="GDJ28" s="1347"/>
      <c r="GDK28" s="1348"/>
      <c r="GDP28" s="1347"/>
      <c r="GDQ28" s="1348"/>
      <c r="GDV28" s="1347"/>
      <c r="GDW28" s="1348"/>
      <c r="GEB28" s="1347"/>
      <c r="GEC28" s="1348"/>
      <c r="GEH28" s="1347"/>
      <c r="GEI28" s="1348"/>
      <c r="GEN28" s="1347"/>
      <c r="GEO28" s="1348"/>
      <c r="GET28" s="1347"/>
      <c r="GEU28" s="1348"/>
      <c r="GEZ28" s="1347"/>
      <c r="GFA28" s="1348"/>
      <c r="GFF28" s="1347"/>
      <c r="GFG28" s="1348"/>
      <c r="GFL28" s="1347"/>
      <c r="GFM28" s="1348"/>
      <c r="GFR28" s="1347"/>
      <c r="GFS28" s="1348"/>
      <c r="GFX28" s="1347"/>
      <c r="GFY28" s="1348"/>
      <c r="GGD28" s="1347"/>
      <c r="GGE28" s="1348"/>
      <c r="GGJ28" s="1347"/>
      <c r="GGK28" s="1348"/>
      <c r="GGP28" s="1347"/>
      <c r="GGQ28" s="1348"/>
      <c r="GGV28" s="1347"/>
      <c r="GGW28" s="1348"/>
      <c r="GHB28" s="1347"/>
      <c r="GHC28" s="1348"/>
      <c r="GHH28" s="1347"/>
      <c r="GHI28" s="1348"/>
      <c r="GHN28" s="1347"/>
      <c r="GHO28" s="1348"/>
      <c r="GHT28" s="1347"/>
      <c r="GHU28" s="1348"/>
      <c r="GHZ28" s="1347"/>
      <c r="GIA28" s="1348"/>
      <c r="GIF28" s="1347"/>
      <c r="GIG28" s="1348"/>
      <c r="GIL28" s="1347"/>
      <c r="GIM28" s="1348"/>
      <c r="GIR28" s="1347"/>
      <c r="GIS28" s="1348"/>
      <c r="GIX28" s="1347"/>
      <c r="GIY28" s="1348"/>
      <c r="GJD28" s="1347"/>
      <c r="GJE28" s="1348"/>
      <c r="GJJ28" s="1347"/>
      <c r="GJK28" s="1348"/>
      <c r="GJP28" s="1347"/>
      <c r="GJQ28" s="1348"/>
      <c r="GJV28" s="1347"/>
      <c r="GJW28" s="1348"/>
      <c r="GKB28" s="1347"/>
      <c r="GKC28" s="1348"/>
      <c r="GKH28" s="1347"/>
      <c r="GKI28" s="1348"/>
      <c r="GKN28" s="1347"/>
      <c r="GKO28" s="1348"/>
      <c r="GKT28" s="1347"/>
      <c r="GKU28" s="1348"/>
      <c r="GKZ28" s="1347"/>
      <c r="GLA28" s="1348"/>
      <c r="GLF28" s="1347"/>
      <c r="GLG28" s="1348"/>
      <c r="GLL28" s="1347"/>
      <c r="GLM28" s="1348"/>
      <c r="GLR28" s="1347"/>
      <c r="GLS28" s="1348"/>
      <c r="GLX28" s="1347"/>
      <c r="GLY28" s="1348"/>
      <c r="GMD28" s="1347"/>
      <c r="GME28" s="1348"/>
      <c r="GMJ28" s="1347"/>
      <c r="GMK28" s="1348"/>
      <c r="GMP28" s="1347"/>
      <c r="GMQ28" s="1348"/>
      <c r="GMV28" s="1347"/>
      <c r="GMW28" s="1348"/>
      <c r="GNB28" s="1347"/>
      <c r="GNC28" s="1348"/>
      <c r="GNH28" s="1347"/>
      <c r="GNI28" s="1348"/>
      <c r="GNN28" s="1347"/>
      <c r="GNO28" s="1348"/>
      <c r="GNT28" s="1347"/>
      <c r="GNU28" s="1348"/>
      <c r="GNZ28" s="1347"/>
      <c r="GOA28" s="1348"/>
      <c r="GOF28" s="1347"/>
      <c r="GOG28" s="1348"/>
      <c r="GOL28" s="1347"/>
      <c r="GOM28" s="1348"/>
      <c r="GOR28" s="1347"/>
      <c r="GOS28" s="1348"/>
      <c r="GOX28" s="1347"/>
      <c r="GOY28" s="1348"/>
      <c r="GPD28" s="1347"/>
      <c r="GPE28" s="1348"/>
      <c r="GPJ28" s="1347"/>
      <c r="GPK28" s="1348"/>
      <c r="GPP28" s="1347"/>
      <c r="GPQ28" s="1348"/>
      <c r="GPV28" s="1347"/>
      <c r="GPW28" s="1348"/>
      <c r="GQB28" s="1347"/>
      <c r="GQC28" s="1348"/>
      <c r="GQH28" s="1347"/>
      <c r="GQI28" s="1348"/>
      <c r="GQN28" s="1347"/>
      <c r="GQO28" s="1348"/>
      <c r="GQT28" s="1347"/>
      <c r="GQU28" s="1348"/>
      <c r="GQZ28" s="1347"/>
      <c r="GRA28" s="1348"/>
      <c r="GRF28" s="1347"/>
      <c r="GRG28" s="1348"/>
      <c r="GRL28" s="1347"/>
      <c r="GRM28" s="1348"/>
      <c r="GRR28" s="1347"/>
      <c r="GRS28" s="1348"/>
      <c r="GRX28" s="1347"/>
      <c r="GRY28" s="1348"/>
      <c r="GSD28" s="1347"/>
      <c r="GSE28" s="1348"/>
      <c r="GSJ28" s="1347"/>
      <c r="GSK28" s="1348"/>
      <c r="GSP28" s="1347"/>
      <c r="GSQ28" s="1348"/>
      <c r="GSV28" s="1347"/>
      <c r="GSW28" s="1348"/>
      <c r="GTB28" s="1347"/>
      <c r="GTC28" s="1348"/>
      <c r="GTH28" s="1347"/>
      <c r="GTI28" s="1348"/>
      <c r="GTN28" s="1347"/>
      <c r="GTO28" s="1348"/>
      <c r="GTT28" s="1347"/>
      <c r="GTU28" s="1348"/>
      <c r="GTZ28" s="1347"/>
      <c r="GUA28" s="1348"/>
      <c r="GUF28" s="1347"/>
      <c r="GUG28" s="1348"/>
      <c r="GUL28" s="1347"/>
      <c r="GUM28" s="1348"/>
      <c r="GUR28" s="1347"/>
      <c r="GUS28" s="1348"/>
      <c r="GUX28" s="1347"/>
      <c r="GUY28" s="1348"/>
      <c r="GVD28" s="1347"/>
      <c r="GVE28" s="1348"/>
      <c r="GVJ28" s="1347"/>
      <c r="GVK28" s="1348"/>
      <c r="GVP28" s="1347"/>
      <c r="GVQ28" s="1348"/>
      <c r="GVV28" s="1347"/>
      <c r="GVW28" s="1348"/>
      <c r="GWB28" s="1347"/>
      <c r="GWC28" s="1348"/>
      <c r="GWH28" s="1347"/>
      <c r="GWI28" s="1348"/>
      <c r="GWN28" s="1347"/>
      <c r="GWO28" s="1348"/>
      <c r="GWT28" s="1347"/>
      <c r="GWU28" s="1348"/>
      <c r="GWZ28" s="1347"/>
      <c r="GXA28" s="1348"/>
      <c r="GXF28" s="1347"/>
      <c r="GXG28" s="1348"/>
      <c r="GXL28" s="1347"/>
      <c r="GXM28" s="1348"/>
      <c r="GXR28" s="1347"/>
      <c r="GXS28" s="1348"/>
      <c r="GXX28" s="1347"/>
      <c r="GXY28" s="1348"/>
      <c r="GYD28" s="1347"/>
      <c r="GYE28" s="1348"/>
      <c r="GYJ28" s="1347"/>
      <c r="GYK28" s="1348"/>
      <c r="GYP28" s="1347"/>
      <c r="GYQ28" s="1348"/>
      <c r="GYV28" s="1347"/>
      <c r="GYW28" s="1348"/>
      <c r="GZB28" s="1347"/>
      <c r="GZC28" s="1348"/>
      <c r="GZH28" s="1347"/>
      <c r="GZI28" s="1348"/>
      <c r="GZN28" s="1347"/>
      <c r="GZO28" s="1348"/>
      <c r="GZT28" s="1347"/>
      <c r="GZU28" s="1348"/>
      <c r="GZZ28" s="1347"/>
      <c r="HAA28" s="1348"/>
      <c r="HAF28" s="1347"/>
      <c r="HAG28" s="1348"/>
      <c r="HAL28" s="1347"/>
      <c r="HAM28" s="1348"/>
      <c r="HAR28" s="1347"/>
      <c r="HAS28" s="1348"/>
      <c r="HAX28" s="1347"/>
      <c r="HAY28" s="1348"/>
      <c r="HBD28" s="1347"/>
      <c r="HBE28" s="1348"/>
      <c r="HBJ28" s="1347"/>
      <c r="HBK28" s="1348"/>
      <c r="HBP28" s="1347"/>
      <c r="HBQ28" s="1348"/>
      <c r="HBV28" s="1347"/>
      <c r="HBW28" s="1348"/>
      <c r="HCB28" s="1347"/>
      <c r="HCC28" s="1348"/>
      <c r="HCH28" s="1347"/>
      <c r="HCI28" s="1348"/>
      <c r="HCN28" s="1347"/>
      <c r="HCO28" s="1348"/>
      <c r="HCT28" s="1347"/>
      <c r="HCU28" s="1348"/>
      <c r="HCZ28" s="1347"/>
      <c r="HDA28" s="1348"/>
      <c r="HDF28" s="1347"/>
      <c r="HDG28" s="1348"/>
      <c r="HDL28" s="1347"/>
      <c r="HDM28" s="1348"/>
      <c r="HDR28" s="1347"/>
      <c r="HDS28" s="1348"/>
      <c r="HDX28" s="1347"/>
      <c r="HDY28" s="1348"/>
      <c r="HED28" s="1347"/>
      <c r="HEE28" s="1348"/>
      <c r="HEJ28" s="1347"/>
      <c r="HEK28" s="1348"/>
      <c r="HEP28" s="1347"/>
      <c r="HEQ28" s="1348"/>
      <c r="HEV28" s="1347"/>
      <c r="HEW28" s="1348"/>
      <c r="HFB28" s="1347"/>
      <c r="HFC28" s="1348"/>
      <c r="HFH28" s="1347"/>
      <c r="HFI28" s="1348"/>
      <c r="HFN28" s="1347"/>
      <c r="HFO28" s="1348"/>
      <c r="HFT28" s="1347"/>
      <c r="HFU28" s="1348"/>
      <c r="HFZ28" s="1347"/>
      <c r="HGA28" s="1348"/>
      <c r="HGF28" s="1347"/>
      <c r="HGG28" s="1348"/>
      <c r="HGL28" s="1347"/>
      <c r="HGM28" s="1348"/>
      <c r="HGR28" s="1347"/>
      <c r="HGS28" s="1348"/>
      <c r="HGX28" s="1347"/>
      <c r="HGY28" s="1348"/>
      <c r="HHD28" s="1347"/>
      <c r="HHE28" s="1348"/>
      <c r="HHJ28" s="1347"/>
      <c r="HHK28" s="1348"/>
      <c r="HHP28" s="1347"/>
      <c r="HHQ28" s="1348"/>
      <c r="HHV28" s="1347"/>
      <c r="HHW28" s="1348"/>
      <c r="HIB28" s="1347"/>
      <c r="HIC28" s="1348"/>
      <c r="HIH28" s="1347"/>
      <c r="HII28" s="1348"/>
      <c r="HIN28" s="1347"/>
      <c r="HIO28" s="1348"/>
      <c r="HIT28" s="1347"/>
      <c r="HIU28" s="1348"/>
      <c r="HIZ28" s="1347"/>
      <c r="HJA28" s="1348"/>
      <c r="HJF28" s="1347"/>
      <c r="HJG28" s="1348"/>
      <c r="HJL28" s="1347"/>
      <c r="HJM28" s="1348"/>
      <c r="HJR28" s="1347"/>
      <c r="HJS28" s="1348"/>
      <c r="HJX28" s="1347"/>
      <c r="HJY28" s="1348"/>
      <c r="HKD28" s="1347"/>
      <c r="HKE28" s="1348"/>
      <c r="HKJ28" s="1347"/>
      <c r="HKK28" s="1348"/>
      <c r="HKP28" s="1347"/>
      <c r="HKQ28" s="1348"/>
      <c r="HKV28" s="1347"/>
      <c r="HKW28" s="1348"/>
      <c r="HLB28" s="1347"/>
      <c r="HLC28" s="1348"/>
      <c r="HLH28" s="1347"/>
      <c r="HLI28" s="1348"/>
      <c r="HLN28" s="1347"/>
      <c r="HLO28" s="1348"/>
      <c r="HLT28" s="1347"/>
      <c r="HLU28" s="1348"/>
      <c r="HLZ28" s="1347"/>
      <c r="HMA28" s="1348"/>
      <c r="HMF28" s="1347"/>
      <c r="HMG28" s="1348"/>
      <c r="HML28" s="1347"/>
      <c r="HMM28" s="1348"/>
      <c r="HMR28" s="1347"/>
      <c r="HMS28" s="1348"/>
      <c r="HMX28" s="1347"/>
      <c r="HMY28" s="1348"/>
      <c r="HND28" s="1347"/>
      <c r="HNE28" s="1348"/>
      <c r="HNJ28" s="1347"/>
      <c r="HNK28" s="1348"/>
      <c r="HNP28" s="1347"/>
      <c r="HNQ28" s="1348"/>
      <c r="HNV28" s="1347"/>
      <c r="HNW28" s="1348"/>
      <c r="HOB28" s="1347"/>
      <c r="HOC28" s="1348"/>
      <c r="HOH28" s="1347"/>
      <c r="HOI28" s="1348"/>
      <c r="HON28" s="1347"/>
      <c r="HOO28" s="1348"/>
      <c r="HOT28" s="1347"/>
      <c r="HOU28" s="1348"/>
      <c r="HOZ28" s="1347"/>
      <c r="HPA28" s="1348"/>
      <c r="HPF28" s="1347"/>
      <c r="HPG28" s="1348"/>
      <c r="HPL28" s="1347"/>
      <c r="HPM28" s="1348"/>
      <c r="HPR28" s="1347"/>
      <c r="HPS28" s="1348"/>
      <c r="HPX28" s="1347"/>
      <c r="HPY28" s="1348"/>
      <c r="HQD28" s="1347"/>
      <c r="HQE28" s="1348"/>
      <c r="HQJ28" s="1347"/>
      <c r="HQK28" s="1348"/>
      <c r="HQP28" s="1347"/>
      <c r="HQQ28" s="1348"/>
      <c r="HQV28" s="1347"/>
      <c r="HQW28" s="1348"/>
      <c r="HRB28" s="1347"/>
      <c r="HRC28" s="1348"/>
      <c r="HRH28" s="1347"/>
      <c r="HRI28" s="1348"/>
      <c r="HRN28" s="1347"/>
      <c r="HRO28" s="1348"/>
      <c r="HRT28" s="1347"/>
      <c r="HRU28" s="1348"/>
      <c r="HRZ28" s="1347"/>
      <c r="HSA28" s="1348"/>
      <c r="HSF28" s="1347"/>
      <c r="HSG28" s="1348"/>
      <c r="HSL28" s="1347"/>
      <c r="HSM28" s="1348"/>
      <c r="HSR28" s="1347"/>
      <c r="HSS28" s="1348"/>
      <c r="HSX28" s="1347"/>
      <c r="HSY28" s="1348"/>
      <c r="HTD28" s="1347"/>
      <c r="HTE28" s="1348"/>
      <c r="HTJ28" s="1347"/>
      <c r="HTK28" s="1348"/>
      <c r="HTP28" s="1347"/>
      <c r="HTQ28" s="1348"/>
      <c r="HTV28" s="1347"/>
      <c r="HTW28" s="1348"/>
      <c r="HUB28" s="1347"/>
      <c r="HUC28" s="1348"/>
      <c r="HUH28" s="1347"/>
      <c r="HUI28" s="1348"/>
      <c r="HUN28" s="1347"/>
      <c r="HUO28" s="1348"/>
      <c r="HUT28" s="1347"/>
      <c r="HUU28" s="1348"/>
      <c r="HUZ28" s="1347"/>
      <c r="HVA28" s="1348"/>
      <c r="HVF28" s="1347"/>
      <c r="HVG28" s="1348"/>
      <c r="HVL28" s="1347"/>
      <c r="HVM28" s="1348"/>
      <c r="HVR28" s="1347"/>
      <c r="HVS28" s="1348"/>
      <c r="HVX28" s="1347"/>
      <c r="HVY28" s="1348"/>
      <c r="HWD28" s="1347"/>
      <c r="HWE28" s="1348"/>
      <c r="HWJ28" s="1347"/>
      <c r="HWK28" s="1348"/>
      <c r="HWP28" s="1347"/>
      <c r="HWQ28" s="1348"/>
      <c r="HWV28" s="1347"/>
      <c r="HWW28" s="1348"/>
      <c r="HXB28" s="1347"/>
      <c r="HXC28" s="1348"/>
      <c r="HXH28" s="1347"/>
      <c r="HXI28" s="1348"/>
      <c r="HXN28" s="1347"/>
      <c r="HXO28" s="1348"/>
      <c r="HXT28" s="1347"/>
      <c r="HXU28" s="1348"/>
      <c r="HXZ28" s="1347"/>
      <c r="HYA28" s="1348"/>
      <c r="HYF28" s="1347"/>
      <c r="HYG28" s="1348"/>
      <c r="HYL28" s="1347"/>
      <c r="HYM28" s="1348"/>
      <c r="HYR28" s="1347"/>
      <c r="HYS28" s="1348"/>
      <c r="HYX28" s="1347"/>
      <c r="HYY28" s="1348"/>
      <c r="HZD28" s="1347"/>
      <c r="HZE28" s="1348"/>
      <c r="HZJ28" s="1347"/>
      <c r="HZK28" s="1348"/>
      <c r="HZP28" s="1347"/>
      <c r="HZQ28" s="1348"/>
      <c r="HZV28" s="1347"/>
      <c r="HZW28" s="1348"/>
      <c r="IAB28" s="1347"/>
      <c r="IAC28" s="1348"/>
      <c r="IAH28" s="1347"/>
      <c r="IAI28" s="1348"/>
      <c r="IAN28" s="1347"/>
      <c r="IAO28" s="1348"/>
      <c r="IAT28" s="1347"/>
      <c r="IAU28" s="1348"/>
      <c r="IAZ28" s="1347"/>
      <c r="IBA28" s="1348"/>
      <c r="IBF28" s="1347"/>
      <c r="IBG28" s="1348"/>
      <c r="IBL28" s="1347"/>
      <c r="IBM28" s="1348"/>
      <c r="IBR28" s="1347"/>
      <c r="IBS28" s="1348"/>
      <c r="IBX28" s="1347"/>
      <c r="IBY28" s="1348"/>
      <c r="ICD28" s="1347"/>
      <c r="ICE28" s="1348"/>
      <c r="ICJ28" s="1347"/>
      <c r="ICK28" s="1348"/>
      <c r="ICP28" s="1347"/>
      <c r="ICQ28" s="1348"/>
      <c r="ICV28" s="1347"/>
      <c r="ICW28" s="1348"/>
      <c r="IDB28" s="1347"/>
      <c r="IDC28" s="1348"/>
      <c r="IDH28" s="1347"/>
      <c r="IDI28" s="1348"/>
      <c r="IDN28" s="1347"/>
      <c r="IDO28" s="1348"/>
      <c r="IDT28" s="1347"/>
      <c r="IDU28" s="1348"/>
      <c r="IDZ28" s="1347"/>
      <c r="IEA28" s="1348"/>
      <c r="IEF28" s="1347"/>
      <c r="IEG28" s="1348"/>
      <c r="IEL28" s="1347"/>
      <c r="IEM28" s="1348"/>
      <c r="IER28" s="1347"/>
      <c r="IES28" s="1348"/>
      <c r="IEX28" s="1347"/>
      <c r="IEY28" s="1348"/>
      <c r="IFD28" s="1347"/>
      <c r="IFE28" s="1348"/>
      <c r="IFJ28" s="1347"/>
      <c r="IFK28" s="1348"/>
      <c r="IFP28" s="1347"/>
      <c r="IFQ28" s="1348"/>
      <c r="IFV28" s="1347"/>
      <c r="IFW28" s="1348"/>
      <c r="IGB28" s="1347"/>
      <c r="IGC28" s="1348"/>
      <c r="IGH28" s="1347"/>
      <c r="IGI28" s="1348"/>
      <c r="IGN28" s="1347"/>
      <c r="IGO28" s="1348"/>
      <c r="IGT28" s="1347"/>
      <c r="IGU28" s="1348"/>
      <c r="IGZ28" s="1347"/>
      <c r="IHA28" s="1348"/>
      <c r="IHF28" s="1347"/>
      <c r="IHG28" s="1348"/>
      <c r="IHL28" s="1347"/>
      <c r="IHM28" s="1348"/>
      <c r="IHR28" s="1347"/>
      <c r="IHS28" s="1348"/>
      <c r="IHX28" s="1347"/>
      <c r="IHY28" s="1348"/>
      <c r="IID28" s="1347"/>
      <c r="IIE28" s="1348"/>
      <c r="IIJ28" s="1347"/>
      <c r="IIK28" s="1348"/>
      <c r="IIP28" s="1347"/>
      <c r="IIQ28" s="1348"/>
      <c r="IIV28" s="1347"/>
      <c r="IIW28" s="1348"/>
      <c r="IJB28" s="1347"/>
      <c r="IJC28" s="1348"/>
      <c r="IJH28" s="1347"/>
      <c r="IJI28" s="1348"/>
      <c r="IJN28" s="1347"/>
      <c r="IJO28" s="1348"/>
      <c r="IJT28" s="1347"/>
      <c r="IJU28" s="1348"/>
      <c r="IJZ28" s="1347"/>
      <c r="IKA28" s="1348"/>
      <c r="IKF28" s="1347"/>
      <c r="IKG28" s="1348"/>
      <c r="IKL28" s="1347"/>
      <c r="IKM28" s="1348"/>
      <c r="IKR28" s="1347"/>
      <c r="IKS28" s="1348"/>
      <c r="IKX28" s="1347"/>
      <c r="IKY28" s="1348"/>
      <c r="ILD28" s="1347"/>
      <c r="ILE28" s="1348"/>
      <c r="ILJ28" s="1347"/>
      <c r="ILK28" s="1348"/>
      <c r="ILP28" s="1347"/>
      <c r="ILQ28" s="1348"/>
      <c r="ILV28" s="1347"/>
      <c r="ILW28" s="1348"/>
      <c r="IMB28" s="1347"/>
      <c r="IMC28" s="1348"/>
      <c r="IMH28" s="1347"/>
      <c r="IMI28" s="1348"/>
      <c r="IMN28" s="1347"/>
      <c r="IMO28" s="1348"/>
      <c r="IMT28" s="1347"/>
      <c r="IMU28" s="1348"/>
      <c r="IMZ28" s="1347"/>
      <c r="INA28" s="1348"/>
      <c r="INF28" s="1347"/>
      <c r="ING28" s="1348"/>
      <c r="INL28" s="1347"/>
      <c r="INM28" s="1348"/>
      <c r="INR28" s="1347"/>
      <c r="INS28" s="1348"/>
      <c r="INX28" s="1347"/>
      <c r="INY28" s="1348"/>
      <c r="IOD28" s="1347"/>
      <c r="IOE28" s="1348"/>
      <c r="IOJ28" s="1347"/>
      <c r="IOK28" s="1348"/>
      <c r="IOP28" s="1347"/>
      <c r="IOQ28" s="1348"/>
      <c r="IOV28" s="1347"/>
      <c r="IOW28" s="1348"/>
      <c r="IPB28" s="1347"/>
      <c r="IPC28" s="1348"/>
      <c r="IPH28" s="1347"/>
      <c r="IPI28" s="1348"/>
      <c r="IPN28" s="1347"/>
      <c r="IPO28" s="1348"/>
      <c r="IPT28" s="1347"/>
      <c r="IPU28" s="1348"/>
      <c r="IPZ28" s="1347"/>
      <c r="IQA28" s="1348"/>
      <c r="IQF28" s="1347"/>
      <c r="IQG28" s="1348"/>
      <c r="IQL28" s="1347"/>
      <c r="IQM28" s="1348"/>
      <c r="IQR28" s="1347"/>
      <c r="IQS28" s="1348"/>
      <c r="IQX28" s="1347"/>
      <c r="IQY28" s="1348"/>
      <c r="IRD28" s="1347"/>
      <c r="IRE28" s="1348"/>
      <c r="IRJ28" s="1347"/>
      <c r="IRK28" s="1348"/>
      <c r="IRP28" s="1347"/>
      <c r="IRQ28" s="1348"/>
      <c r="IRV28" s="1347"/>
      <c r="IRW28" s="1348"/>
      <c r="ISB28" s="1347"/>
      <c r="ISC28" s="1348"/>
      <c r="ISH28" s="1347"/>
      <c r="ISI28" s="1348"/>
      <c r="ISN28" s="1347"/>
      <c r="ISO28" s="1348"/>
      <c r="IST28" s="1347"/>
      <c r="ISU28" s="1348"/>
      <c r="ISZ28" s="1347"/>
      <c r="ITA28" s="1348"/>
      <c r="ITF28" s="1347"/>
      <c r="ITG28" s="1348"/>
      <c r="ITL28" s="1347"/>
      <c r="ITM28" s="1348"/>
      <c r="ITR28" s="1347"/>
      <c r="ITS28" s="1348"/>
      <c r="ITX28" s="1347"/>
      <c r="ITY28" s="1348"/>
      <c r="IUD28" s="1347"/>
      <c r="IUE28" s="1348"/>
      <c r="IUJ28" s="1347"/>
      <c r="IUK28" s="1348"/>
      <c r="IUP28" s="1347"/>
      <c r="IUQ28" s="1348"/>
      <c r="IUV28" s="1347"/>
      <c r="IUW28" s="1348"/>
      <c r="IVB28" s="1347"/>
      <c r="IVC28" s="1348"/>
      <c r="IVH28" s="1347"/>
      <c r="IVI28" s="1348"/>
      <c r="IVN28" s="1347"/>
      <c r="IVO28" s="1348"/>
      <c r="IVT28" s="1347"/>
      <c r="IVU28" s="1348"/>
      <c r="IVZ28" s="1347"/>
      <c r="IWA28" s="1348"/>
      <c r="IWF28" s="1347"/>
      <c r="IWG28" s="1348"/>
      <c r="IWL28" s="1347"/>
      <c r="IWM28" s="1348"/>
      <c r="IWR28" s="1347"/>
      <c r="IWS28" s="1348"/>
      <c r="IWX28" s="1347"/>
      <c r="IWY28" s="1348"/>
      <c r="IXD28" s="1347"/>
      <c r="IXE28" s="1348"/>
      <c r="IXJ28" s="1347"/>
      <c r="IXK28" s="1348"/>
      <c r="IXP28" s="1347"/>
      <c r="IXQ28" s="1348"/>
      <c r="IXV28" s="1347"/>
      <c r="IXW28" s="1348"/>
      <c r="IYB28" s="1347"/>
      <c r="IYC28" s="1348"/>
      <c r="IYH28" s="1347"/>
      <c r="IYI28" s="1348"/>
      <c r="IYN28" s="1347"/>
      <c r="IYO28" s="1348"/>
      <c r="IYT28" s="1347"/>
      <c r="IYU28" s="1348"/>
      <c r="IYZ28" s="1347"/>
      <c r="IZA28" s="1348"/>
      <c r="IZF28" s="1347"/>
      <c r="IZG28" s="1348"/>
      <c r="IZL28" s="1347"/>
      <c r="IZM28" s="1348"/>
      <c r="IZR28" s="1347"/>
      <c r="IZS28" s="1348"/>
      <c r="IZX28" s="1347"/>
      <c r="IZY28" s="1348"/>
      <c r="JAD28" s="1347"/>
      <c r="JAE28" s="1348"/>
      <c r="JAJ28" s="1347"/>
      <c r="JAK28" s="1348"/>
      <c r="JAP28" s="1347"/>
      <c r="JAQ28" s="1348"/>
      <c r="JAV28" s="1347"/>
      <c r="JAW28" s="1348"/>
      <c r="JBB28" s="1347"/>
      <c r="JBC28" s="1348"/>
      <c r="JBH28" s="1347"/>
      <c r="JBI28" s="1348"/>
      <c r="JBN28" s="1347"/>
      <c r="JBO28" s="1348"/>
      <c r="JBT28" s="1347"/>
      <c r="JBU28" s="1348"/>
      <c r="JBZ28" s="1347"/>
      <c r="JCA28" s="1348"/>
      <c r="JCF28" s="1347"/>
      <c r="JCG28" s="1348"/>
      <c r="JCL28" s="1347"/>
      <c r="JCM28" s="1348"/>
      <c r="JCR28" s="1347"/>
      <c r="JCS28" s="1348"/>
      <c r="JCX28" s="1347"/>
      <c r="JCY28" s="1348"/>
      <c r="JDD28" s="1347"/>
      <c r="JDE28" s="1348"/>
      <c r="JDJ28" s="1347"/>
      <c r="JDK28" s="1348"/>
      <c r="JDP28" s="1347"/>
      <c r="JDQ28" s="1348"/>
      <c r="JDV28" s="1347"/>
      <c r="JDW28" s="1348"/>
      <c r="JEB28" s="1347"/>
      <c r="JEC28" s="1348"/>
      <c r="JEH28" s="1347"/>
      <c r="JEI28" s="1348"/>
      <c r="JEN28" s="1347"/>
      <c r="JEO28" s="1348"/>
      <c r="JET28" s="1347"/>
      <c r="JEU28" s="1348"/>
      <c r="JEZ28" s="1347"/>
      <c r="JFA28" s="1348"/>
      <c r="JFF28" s="1347"/>
      <c r="JFG28" s="1348"/>
      <c r="JFL28" s="1347"/>
      <c r="JFM28" s="1348"/>
      <c r="JFR28" s="1347"/>
      <c r="JFS28" s="1348"/>
      <c r="JFX28" s="1347"/>
      <c r="JFY28" s="1348"/>
      <c r="JGD28" s="1347"/>
      <c r="JGE28" s="1348"/>
      <c r="JGJ28" s="1347"/>
      <c r="JGK28" s="1348"/>
      <c r="JGP28" s="1347"/>
      <c r="JGQ28" s="1348"/>
      <c r="JGV28" s="1347"/>
      <c r="JGW28" s="1348"/>
      <c r="JHB28" s="1347"/>
      <c r="JHC28" s="1348"/>
      <c r="JHH28" s="1347"/>
      <c r="JHI28" s="1348"/>
      <c r="JHN28" s="1347"/>
      <c r="JHO28" s="1348"/>
      <c r="JHT28" s="1347"/>
      <c r="JHU28" s="1348"/>
      <c r="JHZ28" s="1347"/>
      <c r="JIA28" s="1348"/>
      <c r="JIF28" s="1347"/>
      <c r="JIG28" s="1348"/>
      <c r="JIL28" s="1347"/>
      <c r="JIM28" s="1348"/>
      <c r="JIR28" s="1347"/>
      <c r="JIS28" s="1348"/>
      <c r="JIX28" s="1347"/>
      <c r="JIY28" s="1348"/>
      <c r="JJD28" s="1347"/>
      <c r="JJE28" s="1348"/>
      <c r="JJJ28" s="1347"/>
      <c r="JJK28" s="1348"/>
      <c r="JJP28" s="1347"/>
      <c r="JJQ28" s="1348"/>
      <c r="JJV28" s="1347"/>
      <c r="JJW28" s="1348"/>
      <c r="JKB28" s="1347"/>
      <c r="JKC28" s="1348"/>
      <c r="JKH28" s="1347"/>
      <c r="JKI28" s="1348"/>
      <c r="JKN28" s="1347"/>
      <c r="JKO28" s="1348"/>
      <c r="JKT28" s="1347"/>
      <c r="JKU28" s="1348"/>
      <c r="JKZ28" s="1347"/>
      <c r="JLA28" s="1348"/>
      <c r="JLF28" s="1347"/>
      <c r="JLG28" s="1348"/>
      <c r="JLL28" s="1347"/>
      <c r="JLM28" s="1348"/>
      <c r="JLR28" s="1347"/>
      <c r="JLS28" s="1348"/>
      <c r="JLX28" s="1347"/>
      <c r="JLY28" s="1348"/>
      <c r="JMD28" s="1347"/>
      <c r="JME28" s="1348"/>
      <c r="JMJ28" s="1347"/>
      <c r="JMK28" s="1348"/>
      <c r="JMP28" s="1347"/>
      <c r="JMQ28" s="1348"/>
      <c r="JMV28" s="1347"/>
      <c r="JMW28" s="1348"/>
      <c r="JNB28" s="1347"/>
      <c r="JNC28" s="1348"/>
      <c r="JNH28" s="1347"/>
      <c r="JNI28" s="1348"/>
      <c r="JNN28" s="1347"/>
      <c r="JNO28" s="1348"/>
      <c r="JNT28" s="1347"/>
      <c r="JNU28" s="1348"/>
      <c r="JNZ28" s="1347"/>
      <c r="JOA28" s="1348"/>
      <c r="JOF28" s="1347"/>
      <c r="JOG28" s="1348"/>
      <c r="JOL28" s="1347"/>
      <c r="JOM28" s="1348"/>
      <c r="JOR28" s="1347"/>
      <c r="JOS28" s="1348"/>
      <c r="JOX28" s="1347"/>
      <c r="JOY28" s="1348"/>
      <c r="JPD28" s="1347"/>
      <c r="JPE28" s="1348"/>
      <c r="JPJ28" s="1347"/>
      <c r="JPK28" s="1348"/>
      <c r="JPP28" s="1347"/>
      <c r="JPQ28" s="1348"/>
      <c r="JPV28" s="1347"/>
      <c r="JPW28" s="1348"/>
      <c r="JQB28" s="1347"/>
      <c r="JQC28" s="1348"/>
      <c r="JQH28" s="1347"/>
      <c r="JQI28" s="1348"/>
      <c r="JQN28" s="1347"/>
      <c r="JQO28" s="1348"/>
      <c r="JQT28" s="1347"/>
      <c r="JQU28" s="1348"/>
      <c r="JQZ28" s="1347"/>
      <c r="JRA28" s="1348"/>
      <c r="JRF28" s="1347"/>
      <c r="JRG28" s="1348"/>
      <c r="JRL28" s="1347"/>
      <c r="JRM28" s="1348"/>
      <c r="JRR28" s="1347"/>
      <c r="JRS28" s="1348"/>
      <c r="JRX28" s="1347"/>
      <c r="JRY28" s="1348"/>
      <c r="JSD28" s="1347"/>
      <c r="JSE28" s="1348"/>
      <c r="JSJ28" s="1347"/>
      <c r="JSK28" s="1348"/>
      <c r="JSP28" s="1347"/>
      <c r="JSQ28" s="1348"/>
      <c r="JSV28" s="1347"/>
      <c r="JSW28" s="1348"/>
      <c r="JTB28" s="1347"/>
      <c r="JTC28" s="1348"/>
      <c r="JTH28" s="1347"/>
      <c r="JTI28" s="1348"/>
      <c r="JTN28" s="1347"/>
      <c r="JTO28" s="1348"/>
      <c r="JTT28" s="1347"/>
      <c r="JTU28" s="1348"/>
      <c r="JTZ28" s="1347"/>
      <c r="JUA28" s="1348"/>
      <c r="JUF28" s="1347"/>
      <c r="JUG28" s="1348"/>
      <c r="JUL28" s="1347"/>
      <c r="JUM28" s="1348"/>
      <c r="JUR28" s="1347"/>
      <c r="JUS28" s="1348"/>
      <c r="JUX28" s="1347"/>
      <c r="JUY28" s="1348"/>
      <c r="JVD28" s="1347"/>
      <c r="JVE28" s="1348"/>
      <c r="JVJ28" s="1347"/>
      <c r="JVK28" s="1348"/>
      <c r="JVP28" s="1347"/>
      <c r="JVQ28" s="1348"/>
      <c r="JVV28" s="1347"/>
      <c r="JVW28" s="1348"/>
      <c r="JWB28" s="1347"/>
      <c r="JWC28" s="1348"/>
      <c r="JWH28" s="1347"/>
      <c r="JWI28" s="1348"/>
      <c r="JWN28" s="1347"/>
      <c r="JWO28" s="1348"/>
      <c r="JWT28" s="1347"/>
      <c r="JWU28" s="1348"/>
      <c r="JWZ28" s="1347"/>
      <c r="JXA28" s="1348"/>
      <c r="JXF28" s="1347"/>
      <c r="JXG28" s="1348"/>
      <c r="JXL28" s="1347"/>
      <c r="JXM28" s="1348"/>
      <c r="JXR28" s="1347"/>
      <c r="JXS28" s="1348"/>
      <c r="JXX28" s="1347"/>
      <c r="JXY28" s="1348"/>
      <c r="JYD28" s="1347"/>
      <c r="JYE28" s="1348"/>
      <c r="JYJ28" s="1347"/>
      <c r="JYK28" s="1348"/>
      <c r="JYP28" s="1347"/>
      <c r="JYQ28" s="1348"/>
      <c r="JYV28" s="1347"/>
      <c r="JYW28" s="1348"/>
      <c r="JZB28" s="1347"/>
      <c r="JZC28" s="1348"/>
      <c r="JZH28" s="1347"/>
      <c r="JZI28" s="1348"/>
      <c r="JZN28" s="1347"/>
      <c r="JZO28" s="1348"/>
      <c r="JZT28" s="1347"/>
      <c r="JZU28" s="1348"/>
      <c r="JZZ28" s="1347"/>
      <c r="KAA28" s="1348"/>
      <c r="KAF28" s="1347"/>
      <c r="KAG28" s="1348"/>
      <c r="KAL28" s="1347"/>
      <c r="KAM28" s="1348"/>
      <c r="KAR28" s="1347"/>
      <c r="KAS28" s="1348"/>
      <c r="KAX28" s="1347"/>
      <c r="KAY28" s="1348"/>
      <c r="KBD28" s="1347"/>
      <c r="KBE28" s="1348"/>
      <c r="KBJ28" s="1347"/>
      <c r="KBK28" s="1348"/>
      <c r="KBP28" s="1347"/>
      <c r="KBQ28" s="1348"/>
      <c r="KBV28" s="1347"/>
      <c r="KBW28" s="1348"/>
      <c r="KCB28" s="1347"/>
      <c r="KCC28" s="1348"/>
      <c r="KCH28" s="1347"/>
      <c r="KCI28" s="1348"/>
      <c r="KCN28" s="1347"/>
      <c r="KCO28" s="1348"/>
      <c r="KCT28" s="1347"/>
      <c r="KCU28" s="1348"/>
      <c r="KCZ28" s="1347"/>
      <c r="KDA28" s="1348"/>
      <c r="KDF28" s="1347"/>
      <c r="KDG28" s="1348"/>
      <c r="KDL28" s="1347"/>
      <c r="KDM28" s="1348"/>
      <c r="KDR28" s="1347"/>
      <c r="KDS28" s="1348"/>
      <c r="KDX28" s="1347"/>
      <c r="KDY28" s="1348"/>
      <c r="KED28" s="1347"/>
      <c r="KEE28" s="1348"/>
      <c r="KEJ28" s="1347"/>
      <c r="KEK28" s="1348"/>
      <c r="KEP28" s="1347"/>
      <c r="KEQ28" s="1348"/>
      <c r="KEV28" s="1347"/>
      <c r="KEW28" s="1348"/>
      <c r="KFB28" s="1347"/>
      <c r="KFC28" s="1348"/>
      <c r="KFH28" s="1347"/>
      <c r="KFI28" s="1348"/>
      <c r="KFN28" s="1347"/>
      <c r="KFO28" s="1348"/>
      <c r="KFT28" s="1347"/>
      <c r="KFU28" s="1348"/>
      <c r="KFZ28" s="1347"/>
      <c r="KGA28" s="1348"/>
      <c r="KGF28" s="1347"/>
      <c r="KGG28" s="1348"/>
      <c r="KGL28" s="1347"/>
      <c r="KGM28" s="1348"/>
      <c r="KGR28" s="1347"/>
      <c r="KGS28" s="1348"/>
      <c r="KGX28" s="1347"/>
      <c r="KGY28" s="1348"/>
      <c r="KHD28" s="1347"/>
      <c r="KHE28" s="1348"/>
      <c r="KHJ28" s="1347"/>
      <c r="KHK28" s="1348"/>
      <c r="KHP28" s="1347"/>
      <c r="KHQ28" s="1348"/>
      <c r="KHV28" s="1347"/>
      <c r="KHW28" s="1348"/>
      <c r="KIB28" s="1347"/>
      <c r="KIC28" s="1348"/>
      <c r="KIH28" s="1347"/>
      <c r="KII28" s="1348"/>
      <c r="KIN28" s="1347"/>
      <c r="KIO28" s="1348"/>
      <c r="KIT28" s="1347"/>
      <c r="KIU28" s="1348"/>
      <c r="KIZ28" s="1347"/>
      <c r="KJA28" s="1348"/>
      <c r="KJF28" s="1347"/>
      <c r="KJG28" s="1348"/>
      <c r="KJL28" s="1347"/>
      <c r="KJM28" s="1348"/>
      <c r="KJR28" s="1347"/>
      <c r="KJS28" s="1348"/>
      <c r="KJX28" s="1347"/>
      <c r="KJY28" s="1348"/>
      <c r="KKD28" s="1347"/>
      <c r="KKE28" s="1348"/>
      <c r="KKJ28" s="1347"/>
      <c r="KKK28" s="1348"/>
      <c r="KKP28" s="1347"/>
      <c r="KKQ28" s="1348"/>
      <c r="KKV28" s="1347"/>
      <c r="KKW28" s="1348"/>
      <c r="KLB28" s="1347"/>
      <c r="KLC28" s="1348"/>
      <c r="KLH28" s="1347"/>
      <c r="KLI28" s="1348"/>
      <c r="KLN28" s="1347"/>
      <c r="KLO28" s="1348"/>
      <c r="KLT28" s="1347"/>
      <c r="KLU28" s="1348"/>
      <c r="KLZ28" s="1347"/>
      <c r="KMA28" s="1348"/>
      <c r="KMF28" s="1347"/>
      <c r="KMG28" s="1348"/>
      <c r="KML28" s="1347"/>
      <c r="KMM28" s="1348"/>
      <c r="KMR28" s="1347"/>
      <c r="KMS28" s="1348"/>
      <c r="KMX28" s="1347"/>
      <c r="KMY28" s="1348"/>
      <c r="KND28" s="1347"/>
      <c r="KNE28" s="1348"/>
      <c r="KNJ28" s="1347"/>
      <c r="KNK28" s="1348"/>
      <c r="KNP28" s="1347"/>
      <c r="KNQ28" s="1348"/>
      <c r="KNV28" s="1347"/>
      <c r="KNW28" s="1348"/>
      <c r="KOB28" s="1347"/>
      <c r="KOC28" s="1348"/>
      <c r="KOH28" s="1347"/>
      <c r="KOI28" s="1348"/>
      <c r="KON28" s="1347"/>
      <c r="KOO28" s="1348"/>
      <c r="KOT28" s="1347"/>
      <c r="KOU28" s="1348"/>
      <c r="KOZ28" s="1347"/>
      <c r="KPA28" s="1348"/>
      <c r="KPF28" s="1347"/>
      <c r="KPG28" s="1348"/>
      <c r="KPL28" s="1347"/>
      <c r="KPM28" s="1348"/>
      <c r="KPR28" s="1347"/>
      <c r="KPS28" s="1348"/>
      <c r="KPX28" s="1347"/>
      <c r="KPY28" s="1348"/>
      <c r="KQD28" s="1347"/>
      <c r="KQE28" s="1348"/>
      <c r="KQJ28" s="1347"/>
      <c r="KQK28" s="1348"/>
      <c r="KQP28" s="1347"/>
      <c r="KQQ28" s="1348"/>
      <c r="KQV28" s="1347"/>
      <c r="KQW28" s="1348"/>
      <c r="KRB28" s="1347"/>
      <c r="KRC28" s="1348"/>
      <c r="KRH28" s="1347"/>
      <c r="KRI28" s="1348"/>
      <c r="KRN28" s="1347"/>
      <c r="KRO28" s="1348"/>
      <c r="KRT28" s="1347"/>
      <c r="KRU28" s="1348"/>
      <c r="KRZ28" s="1347"/>
      <c r="KSA28" s="1348"/>
      <c r="KSF28" s="1347"/>
      <c r="KSG28" s="1348"/>
      <c r="KSL28" s="1347"/>
      <c r="KSM28" s="1348"/>
      <c r="KSR28" s="1347"/>
      <c r="KSS28" s="1348"/>
      <c r="KSX28" s="1347"/>
      <c r="KSY28" s="1348"/>
      <c r="KTD28" s="1347"/>
      <c r="KTE28" s="1348"/>
      <c r="KTJ28" s="1347"/>
      <c r="KTK28" s="1348"/>
      <c r="KTP28" s="1347"/>
      <c r="KTQ28" s="1348"/>
      <c r="KTV28" s="1347"/>
      <c r="KTW28" s="1348"/>
      <c r="KUB28" s="1347"/>
      <c r="KUC28" s="1348"/>
      <c r="KUH28" s="1347"/>
      <c r="KUI28" s="1348"/>
      <c r="KUN28" s="1347"/>
      <c r="KUO28" s="1348"/>
      <c r="KUT28" s="1347"/>
      <c r="KUU28" s="1348"/>
      <c r="KUZ28" s="1347"/>
      <c r="KVA28" s="1348"/>
      <c r="KVF28" s="1347"/>
      <c r="KVG28" s="1348"/>
      <c r="KVL28" s="1347"/>
      <c r="KVM28" s="1348"/>
      <c r="KVR28" s="1347"/>
      <c r="KVS28" s="1348"/>
      <c r="KVX28" s="1347"/>
      <c r="KVY28" s="1348"/>
      <c r="KWD28" s="1347"/>
      <c r="KWE28" s="1348"/>
      <c r="KWJ28" s="1347"/>
      <c r="KWK28" s="1348"/>
      <c r="KWP28" s="1347"/>
      <c r="KWQ28" s="1348"/>
      <c r="KWV28" s="1347"/>
      <c r="KWW28" s="1348"/>
      <c r="KXB28" s="1347"/>
      <c r="KXC28" s="1348"/>
      <c r="KXH28" s="1347"/>
      <c r="KXI28" s="1348"/>
      <c r="KXN28" s="1347"/>
      <c r="KXO28" s="1348"/>
      <c r="KXT28" s="1347"/>
      <c r="KXU28" s="1348"/>
      <c r="KXZ28" s="1347"/>
      <c r="KYA28" s="1348"/>
      <c r="KYF28" s="1347"/>
      <c r="KYG28" s="1348"/>
      <c r="KYL28" s="1347"/>
      <c r="KYM28" s="1348"/>
      <c r="KYR28" s="1347"/>
      <c r="KYS28" s="1348"/>
      <c r="KYX28" s="1347"/>
      <c r="KYY28" s="1348"/>
      <c r="KZD28" s="1347"/>
      <c r="KZE28" s="1348"/>
      <c r="KZJ28" s="1347"/>
      <c r="KZK28" s="1348"/>
      <c r="KZP28" s="1347"/>
      <c r="KZQ28" s="1348"/>
      <c r="KZV28" s="1347"/>
      <c r="KZW28" s="1348"/>
      <c r="LAB28" s="1347"/>
      <c r="LAC28" s="1348"/>
      <c r="LAH28" s="1347"/>
      <c r="LAI28" s="1348"/>
      <c r="LAN28" s="1347"/>
      <c r="LAO28" s="1348"/>
      <c r="LAT28" s="1347"/>
      <c r="LAU28" s="1348"/>
      <c r="LAZ28" s="1347"/>
      <c r="LBA28" s="1348"/>
      <c r="LBF28" s="1347"/>
      <c r="LBG28" s="1348"/>
      <c r="LBL28" s="1347"/>
      <c r="LBM28" s="1348"/>
      <c r="LBR28" s="1347"/>
      <c r="LBS28" s="1348"/>
      <c r="LBX28" s="1347"/>
      <c r="LBY28" s="1348"/>
      <c r="LCD28" s="1347"/>
      <c r="LCE28" s="1348"/>
      <c r="LCJ28" s="1347"/>
      <c r="LCK28" s="1348"/>
      <c r="LCP28" s="1347"/>
      <c r="LCQ28" s="1348"/>
      <c r="LCV28" s="1347"/>
      <c r="LCW28" s="1348"/>
      <c r="LDB28" s="1347"/>
      <c r="LDC28" s="1348"/>
      <c r="LDH28" s="1347"/>
      <c r="LDI28" s="1348"/>
      <c r="LDN28" s="1347"/>
      <c r="LDO28" s="1348"/>
      <c r="LDT28" s="1347"/>
      <c r="LDU28" s="1348"/>
      <c r="LDZ28" s="1347"/>
      <c r="LEA28" s="1348"/>
      <c r="LEF28" s="1347"/>
      <c r="LEG28" s="1348"/>
      <c r="LEL28" s="1347"/>
      <c r="LEM28" s="1348"/>
      <c r="LER28" s="1347"/>
      <c r="LES28" s="1348"/>
      <c r="LEX28" s="1347"/>
      <c r="LEY28" s="1348"/>
      <c r="LFD28" s="1347"/>
      <c r="LFE28" s="1348"/>
      <c r="LFJ28" s="1347"/>
      <c r="LFK28" s="1348"/>
      <c r="LFP28" s="1347"/>
      <c r="LFQ28" s="1348"/>
      <c r="LFV28" s="1347"/>
      <c r="LFW28" s="1348"/>
      <c r="LGB28" s="1347"/>
      <c r="LGC28" s="1348"/>
      <c r="LGH28" s="1347"/>
      <c r="LGI28" s="1348"/>
      <c r="LGN28" s="1347"/>
      <c r="LGO28" s="1348"/>
      <c r="LGT28" s="1347"/>
      <c r="LGU28" s="1348"/>
      <c r="LGZ28" s="1347"/>
      <c r="LHA28" s="1348"/>
      <c r="LHF28" s="1347"/>
      <c r="LHG28" s="1348"/>
      <c r="LHL28" s="1347"/>
      <c r="LHM28" s="1348"/>
      <c r="LHR28" s="1347"/>
      <c r="LHS28" s="1348"/>
      <c r="LHX28" s="1347"/>
      <c r="LHY28" s="1348"/>
      <c r="LID28" s="1347"/>
      <c r="LIE28" s="1348"/>
      <c r="LIJ28" s="1347"/>
      <c r="LIK28" s="1348"/>
      <c r="LIP28" s="1347"/>
      <c r="LIQ28" s="1348"/>
      <c r="LIV28" s="1347"/>
      <c r="LIW28" s="1348"/>
      <c r="LJB28" s="1347"/>
      <c r="LJC28" s="1348"/>
      <c r="LJH28" s="1347"/>
      <c r="LJI28" s="1348"/>
      <c r="LJN28" s="1347"/>
      <c r="LJO28" s="1348"/>
      <c r="LJT28" s="1347"/>
      <c r="LJU28" s="1348"/>
      <c r="LJZ28" s="1347"/>
      <c r="LKA28" s="1348"/>
      <c r="LKF28" s="1347"/>
      <c r="LKG28" s="1348"/>
      <c r="LKL28" s="1347"/>
      <c r="LKM28" s="1348"/>
      <c r="LKR28" s="1347"/>
      <c r="LKS28" s="1348"/>
      <c r="LKX28" s="1347"/>
      <c r="LKY28" s="1348"/>
      <c r="LLD28" s="1347"/>
      <c r="LLE28" s="1348"/>
      <c r="LLJ28" s="1347"/>
      <c r="LLK28" s="1348"/>
      <c r="LLP28" s="1347"/>
      <c r="LLQ28" s="1348"/>
      <c r="LLV28" s="1347"/>
      <c r="LLW28" s="1348"/>
      <c r="LMB28" s="1347"/>
      <c r="LMC28" s="1348"/>
      <c r="LMH28" s="1347"/>
      <c r="LMI28" s="1348"/>
      <c r="LMN28" s="1347"/>
      <c r="LMO28" s="1348"/>
      <c r="LMT28" s="1347"/>
      <c r="LMU28" s="1348"/>
      <c r="LMZ28" s="1347"/>
      <c r="LNA28" s="1348"/>
      <c r="LNF28" s="1347"/>
      <c r="LNG28" s="1348"/>
      <c r="LNL28" s="1347"/>
      <c r="LNM28" s="1348"/>
      <c r="LNR28" s="1347"/>
      <c r="LNS28" s="1348"/>
      <c r="LNX28" s="1347"/>
      <c r="LNY28" s="1348"/>
      <c r="LOD28" s="1347"/>
      <c r="LOE28" s="1348"/>
      <c r="LOJ28" s="1347"/>
      <c r="LOK28" s="1348"/>
      <c r="LOP28" s="1347"/>
      <c r="LOQ28" s="1348"/>
      <c r="LOV28" s="1347"/>
      <c r="LOW28" s="1348"/>
      <c r="LPB28" s="1347"/>
      <c r="LPC28" s="1348"/>
      <c r="LPH28" s="1347"/>
      <c r="LPI28" s="1348"/>
      <c r="LPN28" s="1347"/>
      <c r="LPO28" s="1348"/>
      <c r="LPT28" s="1347"/>
      <c r="LPU28" s="1348"/>
      <c r="LPZ28" s="1347"/>
      <c r="LQA28" s="1348"/>
      <c r="LQF28" s="1347"/>
      <c r="LQG28" s="1348"/>
      <c r="LQL28" s="1347"/>
      <c r="LQM28" s="1348"/>
      <c r="LQR28" s="1347"/>
      <c r="LQS28" s="1348"/>
      <c r="LQX28" s="1347"/>
      <c r="LQY28" s="1348"/>
      <c r="LRD28" s="1347"/>
      <c r="LRE28" s="1348"/>
      <c r="LRJ28" s="1347"/>
      <c r="LRK28" s="1348"/>
      <c r="LRP28" s="1347"/>
      <c r="LRQ28" s="1348"/>
      <c r="LRV28" s="1347"/>
      <c r="LRW28" s="1348"/>
      <c r="LSB28" s="1347"/>
      <c r="LSC28" s="1348"/>
      <c r="LSH28" s="1347"/>
      <c r="LSI28" s="1348"/>
      <c r="LSN28" s="1347"/>
      <c r="LSO28" s="1348"/>
      <c r="LST28" s="1347"/>
      <c r="LSU28" s="1348"/>
      <c r="LSZ28" s="1347"/>
      <c r="LTA28" s="1348"/>
      <c r="LTF28" s="1347"/>
      <c r="LTG28" s="1348"/>
      <c r="LTL28" s="1347"/>
      <c r="LTM28" s="1348"/>
      <c r="LTR28" s="1347"/>
      <c r="LTS28" s="1348"/>
      <c r="LTX28" s="1347"/>
      <c r="LTY28" s="1348"/>
      <c r="LUD28" s="1347"/>
      <c r="LUE28" s="1348"/>
      <c r="LUJ28" s="1347"/>
      <c r="LUK28" s="1348"/>
      <c r="LUP28" s="1347"/>
      <c r="LUQ28" s="1348"/>
      <c r="LUV28" s="1347"/>
      <c r="LUW28" s="1348"/>
      <c r="LVB28" s="1347"/>
      <c r="LVC28" s="1348"/>
      <c r="LVH28" s="1347"/>
      <c r="LVI28" s="1348"/>
      <c r="LVN28" s="1347"/>
      <c r="LVO28" s="1348"/>
      <c r="LVT28" s="1347"/>
      <c r="LVU28" s="1348"/>
      <c r="LVZ28" s="1347"/>
      <c r="LWA28" s="1348"/>
      <c r="LWF28" s="1347"/>
      <c r="LWG28" s="1348"/>
      <c r="LWL28" s="1347"/>
      <c r="LWM28" s="1348"/>
      <c r="LWR28" s="1347"/>
      <c r="LWS28" s="1348"/>
      <c r="LWX28" s="1347"/>
      <c r="LWY28" s="1348"/>
      <c r="LXD28" s="1347"/>
      <c r="LXE28" s="1348"/>
      <c r="LXJ28" s="1347"/>
      <c r="LXK28" s="1348"/>
      <c r="LXP28" s="1347"/>
      <c r="LXQ28" s="1348"/>
      <c r="LXV28" s="1347"/>
      <c r="LXW28" s="1348"/>
      <c r="LYB28" s="1347"/>
      <c r="LYC28" s="1348"/>
      <c r="LYH28" s="1347"/>
      <c r="LYI28" s="1348"/>
      <c r="LYN28" s="1347"/>
      <c r="LYO28" s="1348"/>
      <c r="LYT28" s="1347"/>
      <c r="LYU28" s="1348"/>
      <c r="LYZ28" s="1347"/>
      <c r="LZA28" s="1348"/>
      <c r="LZF28" s="1347"/>
      <c r="LZG28" s="1348"/>
      <c r="LZL28" s="1347"/>
      <c r="LZM28" s="1348"/>
      <c r="LZR28" s="1347"/>
      <c r="LZS28" s="1348"/>
      <c r="LZX28" s="1347"/>
      <c r="LZY28" s="1348"/>
      <c r="MAD28" s="1347"/>
      <c r="MAE28" s="1348"/>
      <c r="MAJ28" s="1347"/>
      <c r="MAK28" s="1348"/>
      <c r="MAP28" s="1347"/>
      <c r="MAQ28" s="1348"/>
      <c r="MAV28" s="1347"/>
      <c r="MAW28" s="1348"/>
      <c r="MBB28" s="1347"/>
      <c r="MBC28" s="1348"/>
      <c r="MBH28" s="1347"/>
      <c r="MBI28" s="1348"/>
      <c r="MBN28" s="1347"/>
      <c r="MBO28" s="1348"/>
      <c r="MBT28" s="1347"/>
      <c r="MBU28" s="1348"/>
      <c r="MBZ28" s="1347"/>
      <c r="MCA28" s="1348"/>
      <c r="MCF28" s="1347"/>
      <c r="MCG28" s="1348"/>
      <c r="MCL28" s="1347"/>
      <c r="MCM28" s="1348"/>
      <c r="MCR28" s="1347"/>
      <c r="MCS28" s="1348"/>
      <c r="MCX28" s="1347"/>
      <c r="MCY28" s="1348"/>
      <c r="MDD28" s="1347"/>
      <c r="MDE28" s="1348"/>
      <c r="MDJ28" s="1347"/>
      <c r="MDK28" s="1348"/>
      <c r="MDP28" s="1347"/>
      <c r="MDQ28" s="1348"/>
      <c r="MDV28" s="1347"/>
      <c r="MDW28" s="1348"/>
      <c r="MEB28" s="1347"/>
      <c r="MEC28" s="1348"/>
      <c r="MEH28" s="1347"/>
      <c r="MEI28" s="1348"/>
      <c r="MEN28" s="1347"/>
      <c r="MEO28" s="1348"/>
      <c r="MET28" s="1347"/>
      <c r="MEU28" s="1348"/>
      <c r="MEZ28" s="1347"/>
      <c r="MFA28" s="1348"/>
      <c r="MFF28" s="1347"/>
      <c r="MFG28" s="1348"/>
      <c r="MFL28" s="1347"/>
      <c r="MFM28" s="1348"/>
      <c r="MFR28" s="1347"/>
      <c r="MFS28" s="1348"/>
      <c r="MFX28" s="1347"/>
      <c r="MFY28" s="1348"/>
      <c r="MGD28" s="1347"/>
      <c r="MGE28" s="1348"/>
      <c r="MGJ28" s="1347"/>
      <c r="MGK28" s="1348"/>
      <c r="MGP28" s="1347"/>
      <c r="MGQ28" s="1348"/>
      <c r="MGV28" s="1347"/>
      <c r="MGW28" s="1348"/>
      <c r="MHB28" s="1347"/>
      <c r="MHC28" s="1348"/>
      <c r="MHH28" s="1347"/>
      <c r="MHI28" s="1348"/>
      <c r="MHN28" s="1347"/>
      <c r="MHO28" s="1348"/>
      <c r="MHT28" s="1347"/>
      <c r="MHU28" s="1348"/>
      <c r="MHZ28" s="1347"/>
      <c r="MIA28" s="1348"/>
      <c r="MIF28" s="1347"/>
      <c r="MIG28" s="1348"/>
      <c r="MIL28" s="1347"/>
      <c r="MIM28" s="1348"/>
      <c r="MIR28" s="1347"/>
      <c r="MIS28" s="1348"/>
      <c r="MIX28" s="1347"/>
      <c r="MIY28" s="1348"/>
      <c r="MJD28" s="1347"/>
      <c r="MJE28" s="1348"/>
      <c r="MJJ28" s="1347"/>
      <c r="MJK28" s="1348"/>
      <c r="MJP28" s="1347"/>
      <c r="MJQ28" s="1348"/>
      <c r="MJV28" s="1347"/>
      <c r="MJW28" s="1348"/>
      <c r="MKB28" s="1347"/>
      <c r="MKC28" s="1348"/>
      <c r="MKH28" s="1347"/>
      <c r="MKI28" s="1348"/>
      <c r="MKN28" s="1347"/>
      <c r="MKO28" s="1348"/>
      <c r="MKT28" s="1347"/>
      <c r="MKU28" s="1348"/>
      <c r="MKZ28" s="1347"/>
      <c r="MLA28" s="1348"/>
      <c r="MLF28" s="1347"/>
      <c r="MLG28" s="1348"/>
      <c r="MLL28" s="1347"/>
      <c r="MLM28" s="1348"/>
      <c r="MLR28" s="1347"/>
      <c r="MLS28" s="1348"/>
      <c r="MLX28" s="1347"/>
      <c r="MLY28" s="1348"/>
      <c r="MMD28" s="1347"/>
      <c r="MME28" s="1348"/>
      <c r="MMJ28" s="1347"/>
      <c r="MMK28" s="1348"/>
      <c r="MMP28" s="1347"/>
      <c r="MMQ28" s="1348"/>
      <c r="MMV28" s="1347"/>
      <c r="MMW28" s="1348"/>
      <c r="MNB28" s="1347"/>
      <c r="MNC28" s="1348"/>
      <c r="MNH28" s="1347"/>
      <c r="MNI28" s="1348"/>
      <c r="MNN28" s="1347"/>
      <c r="MNO28" s="1348"/>
      <c r="MNT28" s="1347"/>
      <c r="MNU28" s="1348"/>
      <c r="MNZ28" s="1347"/>
      <c r="MOA28" s="1348"/>
      <c r="MOF28" s="1347"/>
      <c r="MOG28" s="1348"/>
      <c r="MOL28" s="1347"/>
      <c r="MOM28" s="1348"/>
      <c r="MOR28" s="1347"/>
      <c r="MOS28" s="1348"/>
      <c r="MOX28" s="1347"/>
      <c r="MOY28" s="1348"/>
      <c r="MPD28" s="1347"/>
      <c r="MPE28" s="1348"/>
      <c r="MPJ28" s="1347"/>
      <c r="MPK28" s="1348"/>
      <c r="MPP28" s="1347"/>
      <c r="MPQ28" s="1348"/>
      <c r="MPV28" s="1347"/>
      <c r="MPW28" s="1348"/>
      <c r="MQB28" s="1347"/>
      <c r="MQC28" s="1348"/>
      <c r="MQH28" s="1347"/>
      <c r="MQI28" s="1348"/>
      <c r="MQN28" s="1347"/>
      <c r="MQO28" s="1348"/>
      <c r="MQT28" s="1347"/>
      <c r="MQU28" s="1348"/>
      <c r="MQZ28" s="1347"/>
      <c r="MRA28" s="1348"/>
      <c r="MRF28" s="1347"/>
      <c r="MRG28" s="1348"/>
      <c r="MRL28" s="1347"/>
      <c r="MRM28" s="1348"/>
      <c r="MRR28" s="1347"/>
      <c r="MRS28" s="1348"/>
      <c r="MRX28" s="1347"/>
      <c r="MRY28" s="1348"/>
      <c r="MSD28" s="1347"/>
      <c r="MSE28" s="1348"/>
      <c r="MSJ28" s="1347"/>
      <c r="MSK28" s="1348"/>
      <c r="MSP28" s="1347"/>
      <c r="MSQ28" s="1348"/>
      <c r="MSV28" s="1347"/>
      <c r="MSW28" s="1348"/>
      <c r="MTB28" s="1347"/>
      <c r="MTC28" s="1348"/>
      <c r="MTH28" s="1347"/>
      <c r="MTI28" s="1348"/>
      <c r="MTN28" s="1347"/>
      <c r="MTO28" s="1348"/>
      <c r="MTT28" s="1347"/>
      <c r="MTU28" s="1348"/>
      <c r="MTZ28" s="1347"/>
      <c r="MUA28" s="1348"/>
      <c r="MUF28" s="1347"/>
      <c r="MUG28" s="1348"/>
      <c r="MUL28" s="1347"/>
      <c r="MUM28" s="1348"/>
      <c r="MUR28" s="1347"/>
      <c r="MUS28" s="1348"/>
      <c r="MUX28" s="1347"/>
      <c r="MUY28" s="1348"/>
      <c r="MVD28" s="1347"/>
      <c r="MVE28" s="1348"/>
      <c r="MVJ28" s="1347"/>
      <c r="MVK28" s="1348"/>
      <c r="MVP28" s="1347"/>
      <c r="MVQ28" s="1348"/>
      <c r="MVV28" s="1347"/>
      <c r="MVW28" s="1348"/>
      <c r="MWB28" s="1347"/>
      <c r="MWC28" s="1348"/>
      <c r="MWH28" s="1347"/>
      <c r="MWI28" s="1348"/>
      <c r="MWN28" s="1347"/>
      <c r="MWO28" s="1348"/>
      <c r="MWT28" s="1347"/>
      <c r="MWU28" s="1348"/>
      <c r="MWZ28" s="1347"/>
      <c r="MXA28" s="1348"/>
      <c r="MXF28" s="1347"/>
      <c r="MXG28" s="1348"/>
      <c r="MXL28" s="1347"/>
      <c r="MXM28" s="1348"/>
      <c r="MXR28" s="1347"/>
      <c r="MXS28" s="1348"/>
      <c r="MXX28" s="1347"/>
      <c r="MXY28" s="1348"/>
      <c r="MYD28" s="1347"/>
      <c r="MYE28" s="1348"/>
      <c r="MYJ28" s="1347"/>
      <c r="MYK28" s="1348"/>
      <c r="MYP28" s="1347"/>
      <c r="MYQ28" s="1348"/>
      <c r="MYV28" s="1347"/>
      <c r="MYW28" s="1348"/>
      <c r="MZB28" s="1347"/>
      <c r="MZC28" s="1348"/>
      <c r="MZH28" s="1347"/>
      <c r="MZI28" s="1348"/>
      <c r="MZN28" s="1347"/>
      <c r="MZO28" s="1348"/>
      <c r="MZT28" s="1347"/>
      <c r="MZU28" s="1348"/>
      <c r="MZZ28" s="1347"/>
      <c r="NAA28" s="1348"/>
      <c r="NAF28" s="1347"/>
      <c r="NAG28" s="1348"/>
      <c r="NAL28" s="1347"/>
      <c r="NAM28" s="1348"/>
      <c r="NAR28" s="1347"/>
      <c r="NAS28" s="1348"/>
      <c r="NAX28" s="1347"/>
      <c r="NAY28" s="1348"/>
      <c r="NBD28" s="1347"/>
      <c r="NBE28" s="1348"/>
      <c r="NBJ28" s="1347"/>
      <c r="NBK28" s="1348"/>
      <c r="NBP28" s="1347"/>
      <c r="NBQ28" s="1348"/>
      <c r="NBV28" s="1347"/>
      <c r="NBW28" s="1348"/>
      <c r="NCB28" s="1347"/>
      <c r="NCC28" s="1348"/>
      <c r="NCH28" s="1347"/>
      <c r="NCI28" s="1348"/>
      <c r="NCN28" s="1347"/>
      <c r="NCO28" s="1348"/>
      <c r="NCT28" s="1347"/>
      <c r="NCU28" s="1348"/>
      <c r="NCZ28" s="1347"/>
      <c r="NDA28" s="1348"/>
      <c r="NDF28" s="1347"/>
      <c r="NDG28" s="1348"/>
      <c r="NDL28" s="1347"/>
      <c r="NDM28" s="1348"/>
      <c r="NDR28" s="1347"/>
      <c r="NDS28" s="1348"/>
      <c r="NDX28" s="1347"/>
      <c r="NDY28" s="1348"/>
      <c r="NED28" s="1347"/>
      <c r="NEE28" s="1348"/>
      <c r="NEJ28" s="1347"/>
      <c r="NEK28" s="1348"/>
      <c r="NEP28" s="1347"/>
      <c r="NEQ28" s="1348"/>
      <c r="NEV28" s="1347"/>
      <c r="NEW28" s="1348"/>
      <c r="NFB28" s="1347"/>
      <c r="NFC28" s="1348"/>
      <c r="NFH28" s="1347"/>
      <c r="NFI28" s="1348"/>
      <c r="NFN28" s="1347"/>
      <c r="NFO28" s="1348"/>
      <c r="NFT28" s="1347"/>
      <c r="NFU28" s="1348"/>
      <c r="NFZ28" s="1347"/>
      <c r="NGA28" s="1348"/>
      <c r="NGF28" s="1347"/>
      <c r="NGG28" s="1348"/>
      <c r="NGL28" s="1347"/>
      <c r="NGM28" s="1348"/>
      <c r="NGR28" s="1347"/>
      <c r="NGS28" s="1348"/>
      <c r="NGX28" s="1347"/>
      <c r="NGY28" s="1348"/>
      <c r="NHD28" s="1347"/>
      <c r="NHE28" s="1348"/>
      <c r="NHJ28" s="1347"/>
      <c r="NHK28" s="1348"/>
      <c r="NHP28" s="1347"/>
      <c r="NHQ28" s="1348"/>
      <c r="NHV28" s="1347"/>
      <c r="NHW28" s="1348"/>
      <c r="NIB28" s="1347"/>
      <c r="NIC28" s="1348"/>
      <c r="NIH28" s="1347"/>
      <c r="NII28" s="1348"/>
      <c r="NIN28" s="1347"/>
      <c r="NIO28" s="1348"/>
      <c r="NIT28" s="1347"/>
      <c r="NIU28" s="1348"/>
      <c r="NIZ28" s="1347"/>
      <c r="NJA28" s="1348"/>
      <c r="NJF28" s="1347"/>
      <c r="NJG28" s="1348"/>
      <c r="NJL28" s="1347"/>
      <c r="NJM28" s="1348"/>
      <c r="NJR28" s="1347"/>
      <c r="NJS28" s="1348"/>
      <c r="NJX28" s="1347"/>
      <c r="NJY28" s="1348"/>
      <c r="NKD28" s="1347"/>
      <c r="NKE28" s="1348"/>
      <c r="NKJ28" s="1347"/>
      <c r="NKK28" s="1348"/>
      <c r="NKP28" s="1347"/>
      <c r="NKQ28" s="1348"/>
      <c r="NKV28" s="1347"/>
      <c r="NKW28" s="1348"/>
      <c r="NLB28" s="1347"/>
      <c r="NLC28" s="1348"/>
      <c r="NLH28" s="1347"/>
      <c r="NLI28" s="1348"/>
      <c r="NLN28" s="1347"/>
      <c r="NLO28" s="1348"/>
      <c r="NLT28" s="1347"/>
      <c r="NLU28" s="1348"/>
      <c r="NLZ28" s="1347"/>
      <c r="NMA28" s="1348"/>
      <c r="NMF28" s="1347"/>
      <c r="NMG28" s="1348"/>
      <c r="NML28" s="1347"/>
      <c r="NMM28" s="1348"/>
      <c r="NMR28" s="1347"/>
      <c r="NMS28" s="1348"/>
      <c r="NMX28" s="1347"/>
      <c r="NMY28" s="1348"/>
      <c r="NND28" s="1347"/>
      <c r="NNE28" s="1348"/>
      <c r="NNJ28" s="1347"/>
      <c r="NNK28" s="1348"/>
      <c r="NNP28" s="1347"/>
      <c r="NNQ28" s="1348"/>
      <c r="NNV28" s="1347"/>
      <c r="NNW28" s="1348"/>
      <c r="NOB28" s="1347"/>
      <c r="NOC28" s="1348"/>
      <c r="NOH28" s="1347"/>
      <c r="NOI28" s="1348"/>
      <c r="NON28" s="1347"/>
      <c r="NOO28" s="1348"/>
      <c r="NOT28" s="1347"/>
      <c r="NOU28" s="1348"/>
      <c r="NOZ28" s="1347"/>
      <c r="NPA28" s="1348"/>
      <c r="NPF28" s="1347"/>
      <c r="NPG28" s="1348"/>
      <c r="NPL28" s="1347"/>
      <c r="NPM28" s="1348"/>
      <c r="NPR28" s="1347"/>
      <c r="NPS28" s="1348"/>
      <c r="NPX28" s="1347"/>
      <c r="NPY28" s="1348"/>
      <c r="NQD28" s="1347"/>
      <c r="NQE28" s="1348"/>
      <c r="NQJ28" s="1347"/>
      <c r="NQK28" s="1348"/>
      <c r="NQP28" s="1347"/>
      <c r="NQQ28" s="1348"/>
      <c r="NQV28" s="1347"/>
      <c r="NQW28" s="1348"/>
      <c r="NRB28" s="1347"/>
      <c r="NRC28" s="1348"/>
      <c r="NRH28" s="1347"/>
      <c r="NRI28" s="1348"/>
      <c r="NRN28" s="1347"/>
      <c r="NRO28" s="1348"/>
      <c r="NRT28" s="1347"/>
      <c r="NRU28" s="1348"/>
      <c r="NRZ28" s="1347"/>
      <c r="NSA28" s="1348"/>
      <c r="NSF28" s="1347"/>
      <c r="NSG28" s="1348"/>
      <c r="NSL28" s="1347"/>
      <c r="NSM28" s="1348"/>
      <c r="NSR28" s="1347"/>
      <c r="NSS28" s="1348"/>
      <c r="NSX28" s="1347"/>
      <c r="NSY28" s="1348"/>
      <c r="NTD28" s="1347"/>
      <c r="NTE28" s="1348"/>
      <c r="NTJ28" s="1347"/>
      <c r="NTK28" s="1348"/>
      <c r="NTP28" s="1347"/>
      <c r="NTQ28" s="1348"/>
      <c r="NTV28" s="1347"/>
      <c r="NTW28" s="1348"/>
      <c r="NUB28" s="1347"/>
      <c r="NUC28" s="1348"/>
      <c r="NUH28" s="1347"/>
      <c r="NUI28" s="1348"/>
      <c r="NUN28" s="1347"/>
      <c r="NUO28" s="1348"/>
      <c r="NUT28" s="1347"/>
      <c r="NUU28" s="1348"/>
      <c r="NUZ28" s="1347"/>
      <c r="NVA28" s="1348"/>
      <c r="NVF28" s="1347"/>
      <c r="NVG28" s="1348"/>
      <c r="NVL28" s="1347"/>
      <c r="NVM28" s="1348"/>
      <c r="NVR28" s="1347"/>
      <c r="NVS28" s="1348"/>
      <c r="NVX28" s="1347"/>
      <c r="NVY28" s="1348"/>
      <c r="NWD28" s="1347"/>
      <c r="NWE28" s="1348"/>
      <c r="NWJ28" s="1347"/>
      <c r="NWK28" s="1348"/>
      <c r="NWP28" s="1347"/>
      <c r="NWQ28" s="1348"/>
      <c r="NWV28" s="1347"/>
      <c r="NWW28" s="1348"/>
      <c r="NXB28" s="1347"/>
      <c r="NXC28" s="1348"/>
      <c r="NXH28" s="1347"/>
      <c r="NXI28" s="1348"/>
      <c r="NXN28" s="1347"/>
      <c r="NXO28" s="1348"/>
      <c r="NXT28" s="1347"/>
      <c r="NXU28" s="1348"/>
      <c r="NXZ28" s="1347"/>
      <c r="NYA28" s="1348"/>
      <c r="NYF28" s="1347"/>
      <c r="NYG28" s="1348"/>
      <c r="NYL28" s="1347"/>
      <c r="NYM28" s="1348"/>
      <c r="NYR28" s="1347"/>
      <c r="NYS28" s="1348"/>
      <c r="NYX28" s="1347"/>
      <c r="NYY28" s="1348"/>
      <c r="NZD28" s="1347"/>
      <c r="NZE28" s="1348"/>
      <c r="NZJ28" s="1347"/>
      <c r="NZK28" s="1348"/>
      <c r="NZP28" s="1347"/>
      <c r="NZQ28" s="1348"/>
      <c r="NZV28" s="1347"/>
      <c r="NZW28" s="1348"/>
      <c r="OAB28" s="1347"/>
      <c r="OAC28" s="1348"/>
      <c r="OAH28" s="1347"/>
      <c r="OAI28" s="1348"/>
      <c r="OAN28" s="1347"/>
      <c r="OAO28" s="1348"/>
      <c r="OAT28" s="1347"/>
      <c r="OAU28" s="1348"/>
      <c r="OAZ28" s="1347"/>
      <c r="OBA28" s="1348"/>
      <c r="OBF28" s="1347"/>
      <c r="OBG28" s="1348"/>
      <c r="OBL28" s="1347"/>
      <c r="OBM28" s="1348"/>
      <c r="OBR28" s="1347"/>
      <c r="OBS28" s="1348"/>
      <c r="OBX28" s="1347"/>
      <c r="OBY28" s="1348"/>
      <c r="OCD28" s="1347"/>
      <c r="OCE28" s="1348"/>
      <c r="OCJ28" s="1347"/>
      <c r="OCK28" s="1348"/>
      <c r="OCP28" s="1347"/>
      <c r="OCQ28" s="1348"/>
      <c r="OCV28" s="1347"/>
      <c r="OCW28" s="1348"/>
      <c r="ODB28" s="1347"/>
      <c r="ODC28" s="1348"/>
      <c r="ODH28" s="1347"/>
      <c r="ODI28" s="1348"/>
      <c r="ODN28" s="1347"/>
      <c r="ODO28" s="1348"/>
      <c r="ODT28" s="1347"/>
      <c r="ODU28" s="1348"/>
      <c r="ODZ28" s="1347"/>
      <c r="OEA28" s="1348"/>
      <c r="OEF28" s="1347"/>
      <c r="OEG28" s="1348"/>
      <c r="OEL28" s="1347"/>
      <c r="OEM28" s="1348"/>
      <c r="OER28" s="1347"/>
      <c r="OES28" s="1348"/>
      <c r="OEX28" s="1347"/>
      <c r="OEY28" s="1348"/>
      <c r="OFD28" s="1347"/>
      <c r="OFE28" s="1348"/>
      <c r="OFJ28" s="1347"/>
      <c r="OFK28" s="1348"/>
      <c r="OFP28" s="1347"/>
      <c r="OFQ28" s="1348"/>
      <c r="OFV28" s="1347"/>
      <c r="OFW28" s="1348"/>
      <c r="OGB28" s="1347"/>
      <c r="OGC28" s="1348"/>
      <c r="OGH28" s="1347"/>
      <c r="OGI28" s="1348"/>
      <c r="OGN28" s="1347"/>
      <c r="OGO28" s="1348"/>
      <c r="OGT28" s="1347"/>
      <c r="OGU28" s="1348"/>
      <c r="OGZ28" s="1347"/>
      <c r="OHA28" s="1348"/>
      <c r="OHF28" s="1347"/>
      <c r="OHG28" s="1348"/>
      <c r="OHL28" s="1347"/>
      <c r="OHM28" s="1348"/>
      <c r="OHR28" s="1347"/>
      <c r="OHS28" s="1348"/>
      <c r="OHX28" s="1347"/>
      <c r="OHY28" s="1348"/>
      <c r="OID28" s="1347"/>
      <c r="OIE28" s="1348"/>
      <c r="OIJ28" s="1347"/>
      <c r="OIK28" s="1348"/>
      <c r="OIP28" s="1347"/>
      <c r="OIQ28" s="1348"/>
      <c r="OIV28" s="1347"/>
      <c r="OIW28" s="1348"/>
      <c r="OJB28" s="1347"/>
      <c r="OJC28" s="1348"/>
      <c r="OJH28" s="1347"/>
      <c r="OJI28" s="1348"/>
      <c r="OJN28" s="1347"/>
      <c r="OJO28" s="1348"/>
      <c r="OJT28" s="1347"/>
      <c r="OJU28" s="1348"/>
      <c r="OJZ28" s="1347"/>
      <c r="OKA28" s="1348"/>
      <c r="OKF28" s="1347"/>
      <c r="OKG28" s="1348"/>
      <c r="OKL28" s="1347"/>
      <c r="OKM28" s="1348"/>
      <c r="OKR28" s="1347"/>
      <c r="OKS28" s="1348"/>
      <c r="OKX28" s="1347"/>
      <c r="OKY28" s="1348"/>
      <c r="OLD28" s="1347"/>
      <c r="OLE28" s="1348"/>
      <c r="OLJ28" s="1347"/>
      <c r="OLK28" s="1348"/>
      <c r="OLP28" s="1347"/>
      <c r="OLQ28" s="1348"/>
      <c r="OLV28" s="1347"/>
      <c r="OLW28" s="1348"/>
      <c r="OMB28" s="1347"/>
      <c r="OMC28" s="1348"/>
      <c r="OMH28" s="1347"/>
      <c r="OMI28" s="1348"/>
      <c r="OMN28" s="1347"/>
      <c r="OMO28" s="1348"/>
      <c r="OMT28" s="1347"/>
      <c r="OMU28" s="1348"/>
      <c r="OMZ28" s="1347"/>
      <c r="ONA28" s="1348"/>
      <c r="ONF28" s="1347"/>
      <c r="ONG28" s="1348"/>
      <c r="ONL28" s="1347"/>
      <c r="ONM28" s="1348"/>
      <c r="ONR28" s="1347"/>
      <c r="ONS28" s="1348"/>
      <c r="ONX28" s="1347"/>
      <c r="ONY28" s="1348"/>
      <c r="OOD28" s="1347"/>
      <c r="OOE28" s="1348"/>
      <c r="OOJ28" s="1347"/>
      <c r="OOK28" s="1348"/>
      <c r="OOP28" s="1347"/>
      <c r="OOQ28" s="1348"/>
      <c r="OOV28" s="1347"/>
      <c r="OOW28" s="1348"/>
      <c r="OPB28" s="1347"/>
      <c r="OPC28" s="1348"/>
      <c r="OPH28" s="1347"/>
      <c r="OPI28" s="1348"/>
      <c r="OPN28" s="1347"/>
      <c r="OPO28" s="1348"/>
      <c r="OPT28" s="1347"/>
      <c r="OPU28" s="1348"/>
      <c r="OPZ28" s="1347"/>
      <c r="OQA28" s="1348"/>
      <c r="OQF28" s="1347"/>
      <c r="OQG28" s="1348"/>
      <c r="OQL28" s="1347"/>
      <c r="OQM28" s="1348"/>
      <c r="OQR28" s="1347"/>
      <c r="OQS28" s="1348"/>
      <c r="OQX28" s="1347"/>
      <c r="OQY28" s="1348"/>
      <c r="ORD28" s="1347"/>
      <c r="ORE28" s="1348"/>
      <c r="ORJ28" s="1347"/>
      <c r="ORK28" s="1348"/>
      <c r="ORP28" s="1347"/>
      <c r="ORQ28" s="1348"/>
      <c r="ORV28" s="1347"/>
      <c r="ORW28" s="1348"/>
      <c r="OSB28" s="1347"/>
      <c r="OSC28" s="1348"/>
      <c r="OSH28" s="1347"/>
      <c r="OSI28" s="1348"/>
      <c r="OSN28" s="1347"/>
      <c r="OSO28" s="1348"/>
      <c r="OST28" s="1347"/>
      <c r="OSU28" s="1348"/>
      <c r="OSZ28" s="1347"/>
      <c r="OTA28" s="1348"/>
      <c r="OTF28" s="1347"/>
      <c r="OTG28" s="1348"/>
      <c r="OTL28" s="1347"/>
      <c r="OTM28" s="1348"/>
      <c r="OTR28" s="1347"/>
      <c r="OTS28" s="1348"/>
      <c r="OTX28" s="1347"/>
      <c r="OTY28" s="1348"/>
      <c r="OUD28" s="1347"/>
      <c r="OUE28" s="1348"/>
      <c r="OUJ28" s="1347"/>
      <c r="OUK28" s="1348"/>
      <c r="OUP28" s="1347"/>
      <c r="OUQ28" s="1348"/>
      <c r="OUV28" s="1347"/>
      <c r="OUW28" s="1348"/>
      <c r="OVB28" s="1347"/>
      <c r="OVC28" s="1348"/>
      <c r="OVH28" s="1347"/>
      <c r="OVI28" s="1348"/>
      <c r="OVN28" s="1347"/>
      <c r="OVO28" s="1348"/>
      <c r="OVT28" s="1347"/>
      <c r="OVU28" s="1348"/>
      <c r="OVZ28" s="1347"/>
      <c r="OWA28" s="1348"/>
      <c r="OWF28" s="1347"/>
      <c r="OWG28" s="1348"/>
      <c r="OWL28" s="1347"/>
      <c r="OWM28" s="1348"/>
      <c r="OWR28" s="1347"/>
      <c r="OWS28" s="1348"/>
      <c r="OWX28" s="1347"/>
      <c r="OWY28" s="1348"/>
      <c r="OXD28" s="1347"/>
      <c r="OXE28" s="1348"/>
      <c r="OXJ28" s="1347"/>
      <c r="OXK28" s="1348"/>
      <c r="OXP28" s="1347"/>
      <c r="OXQ28" s="1348"/>
      <c r="OXV28" s="1347"/>
      <c r="OXW28" s="1348"/>
      <c r="OYB28" s="1347"/>
      <c r="OYC28" s="1348"/>
      <c r="OYH28" s="1347"/>
      <c r="OYI28" s="1348"/>
      <c r="OYN28" s="1347"/>
      <c r="OYO28" s="1348"/>
      <c r="OYT28" s="1347"/>
      <c r="OYU28" s="1348"/>
      <c r="OYZ28" s="1347"/>
      <c r="OZA28" s="1348"/>
      <c r="OZF28" s="1347"/>
      <c r="OZG28" s="1348"/>
      <c r="OZL28" s="1347"/>
      <c r="OZM28" s="1348"/>
      <c r="OZR28" s="1347"/>
      <c r="OZS28" s="1348"/>
      <c r="OZX28" s="1347"/>
      <c r="OZY28" s="1348"/>
      <c r="PAD28" s="1347"/>
      <c r="PAE28" s="1348"/>
      <c r="PAJ28" s="1347"/>
      <c r="PAK28" s="1348"/>
      <c r="PAP28" s="1347"/>
      <c r="PAQ28" s="1348"/>
      <c r="PAV28" s="1347"/>
      <c r="PAW28" s="1348"/>
      <c r="PBB28" s="1347"/>
      <c r="PBC28" s="1348"/>
      <c r="PBH28" s="1347"/>
      <c r="PBI28" s="1348"/>
      <c r="PBN28" s="1347"/>
      <c r="PBO28" s="1348"/>
      <c r="PBT28" s="1347"/>
      <c r="PBU28" s="1348"/>
      <c r="PBZ28" s="1347"/>
      <c r="PCA28" s="1348"/>
      <c r="PCF28" s="1347"/>
      <c r="PCG28" s="1348"/>
      <c r="PCL28" s="1347"/>
      <c r="PCM28" s="1348"/>
      <c r="PCR28" s="1347"/>
      <c r="PCS28" s="1348"/>
      <c r="PCX28" s="1347"/>
      <c r="PCY28" s="1348"/>
      <c r="PDD28" s="1347"/>
      <c r="PDE28" s="1348"/>
      <c r="PDJ28" s="1347"/>
      <c r="PDK28" s="1348"/>
      <c r="PDP28" s="1347"/>
      <c r="PDQ28" s="1348"/>
      <c r="PDV28" s="1347"/>
      <c r="PDW28" s="1348"/>
      <c r="PEB28" s="1347"/>
      <c r="PEC28" s="1348"/>
      <c r="PEH28" s="1347"/>
      <c r="PEI28" s="1348"/>
      <c r="PEN28" s="1347"/>
      <c r="PEO28" s="1348"/>
      <c r="PET28" s="1347"/>
      <c r="PEU28" s="1348"/>
      <c r="PEZ28" s="1347"/>
      <c r="PFA28" s="1348"/>
      <c r="PFF28" s="1347"/>
      <c r="PFG28" s="1348"/>
      <c r="PFL28" s="1347"/>
      <c r="PFM28" s="1348"/>
      <c r="PFR28" s="1347"/>
      <c r="PFS28" s="1348"/>
      <c r="PFX28" s="1347"/>
      <c r="PFY28" s="1348"/>
      <c r="PGD28" s="1347"/>
      <c r="PGE28" s="1348"/>
      <c r="PGJ28" s="1347"/>
      <c r="PGK28" s="1348"/>
      <c r="PGP28" s="1347"/>
      <c r="PGQ28" s="1348"/>
      <c r="PGV28" s="1347"/>
      <c r="PGW28" s="1348"/>
      <c r="PHB28" s="1347"/>
      <c r="PHC28" s="1348"/>
      <c r="PHH28" s="1347"/>
      <c r="PHI28" s="1348"/>
      <c r="PHN28" s="1347"/>
      <c r="PHO28" s="1348"/>
      <c r="PHT28" s="1347"/>
      <c r="PHU28" s="1348"/>
      <c r="PHZ28" s="1347"/>
      <c r="PIA28" s="1348"/>
      <c r="PIF28" s="1347"/>
      <c r="PIG28" s="1348"/>
      <c r="PIL28" s="1347"/>
      <c r="PIM28" s="1348"/>
      <c r="PIR28" s="1347"/>
      <c r="PIS28" s="1348"/>
      <c r="PIX28" s="1347"/>
      <c r="PIY28" s="1348"/>
      <c r="PJD28" s="1347"/>
      <c r="PJE28" s="1348"/>
      <c r="PJJ28" s="1347"/>
      <c r="PJK28" s="1348"/>
      <c r="PJP28" s="1347"/>
      <c r="PJQ28" s="1348"/>
      <c r="PJV28" s="1347"/>
      <c r="PJW28" s="1348"/>
      <c r="PKB28" s="1347"/>
      <c r="PKC28" s="1348"/>
      <c r="PKH28" s="1347"/>
      <c r="PKI28" s="1348"/>
      <c r="PKN28" s="1347"/>
      <c r="PKO28" s="1348"/>
      <c r="PKT28" s="1347"/>
      <c r="PKU28" s="1348"/>
      <c r="PKZ28" s="1347"/>
      <c r="PLA28" s="1348"/>
      <c r="PLF28" s="1347"/>
      <c r="PLG28" s="1348"/>
      <c r="PLL28" s="1347"/>
      <c r="PLM28" s="1348"/>
      <c r="PLR28" s="1347"/>
      <c r="PLS28" s="1348"/>
      <c r="PLX28" s="1347"/>
      <c r="PLY28" s="1348"/>
      <c r="PMD28" s="1347"/>
      <c r="PME28" s="1348"/>
      <c r="PMJ28" s="1347"/>
      <c r="PMK28" s="1348"/>
      <c r="PMP28" s="1347"/>
      <c r="PMQ28" s="1348"/>
      <c r="PMV28" s="1347"/>
      <c r="PMW28" s="1348"/>
      <c r="PNB28" s="1347"/>
      <c r="PNC28" s="1348"/>
      <c r="PNH28" s="1347"/>
      <c r="PNI28" s="1348"/>
      <c r="PNN28" s="1347"/>
      <c r="PNO28" s="1348"/>
      <c r="PNT28" s="1347"/>
      <c r="PNU28" s="1348"/>
      <c r="PNZ28" s="1347"/>
      <c r="POA28" s="1348"/>
      <c r="POF28" s="1347"/>
      <c r="POG28" s="1348"/>
      <c r="POL28" s="1347"/>
      <c r="POM28" s="1348"/>
      <c r="POR28" s="1347"/>
      <c r="POS28" s="1348"/>
      <c r="POX28" s="1347"/>
      <c r="POY28" s="1348"/>
      <c r="PPD28" s="1347"/>
      <c r="PPE28" s="1348"/>
      <c r="PPJ28" s="1347"/>
      <c r="PPK28" s="1348"/>
      <c r="PPP28" s="1347"/>
      <c r="PPQ28" s="1348"/>
      <c r="PPV28" s="1347"/>
      <c r="PPW28" s="1348"/>
      <c r="PQB28" s="1347"/>
      <c r="PQC28" s="1348"/>
      <c r="PQH28" s="1347"/>
      <c r="PQI28" s="1348"/>
      <c r="PQN28" s="1347"/>
      <c r="PQO28" s="1348"/>
      <c r="PQT28" s="1347"/>
      <c r="PQU28" s="1348"/>
      <c r="PQZ28" s="1347"/>
      <c r="PRA28" s="1348"/>
      <c r="PRF28" s="1347"/>
      <c r="PRG28" s="1348"/>
      <c r="PRL28" s="1347"/>
      <c r="PRM28" s="1348"/>
      <c r="PRR28" s="1347"/>
      <c r="PRS28" s="1348"/>
      <c r="PRX28" s="1347"/>
      <c r="PRY28" s="1348"/>
      <c r="PSD28" s="1347"/>
      <c r="PSE28" s="1348"/>
      <c r="PSJ28" s="1347"/>
      <c r="PSK28" s="1348"/>
      <c r="PSP28" s="1347"/>
      <c r="PSQ28" s="1348"/>
      <c r="PSV28" s="1347"/>
      <c r="PSW28" s="1348"/>
      <c r="PTB28" s="1347"/>
      <c r="PTC28" s="1348"/>
      <c r="PTH28" s="1347"/>
      <c r="PTI28" s="1348"/>
      <c r="PTN28" s="1347"/>
      <c r="PTO28" s="1348"/>
      <c r="PTT28" s="1347"/>
      <c r="PTU28" s="1348"/>
      <c r="PTZ28" s="1347"/>
      <c r="PUA28" s="1348"/>
      <c r="PUF28" s="1347"/>
      <c r="PUG28" s="1348"/>
      <c r="PUL28" s="1347"/>
      <c r="PUM28" s="1348"/>
      <c r="PUR28" s="1347"/>
      <c r="PUS28" s="1348"/>
      <c r="PUX28" s="1347"/>
      <c r="PUY28" s="1348"/>
      <c r="PVD28" s="1347"/>
      <c r="PVE28" s="1348"/>
      <c r="PVJ28" s="1347"/>
      <c r="PVK28" s="1348"/>
      <c r="PVP28" s="1347"/>
      <c r="PVQ28" s="1348"/>
      <c r="PVV28" s="1347"/>
      <c r="PVW28" s="1348"/>
      <c r="PWB28" s="1347"/>
      <c r="PWC28" s="1348"/>
      <c r="PWH28" s="1347"/>
      <c r="PWI28" s="1348"/>
      <c r="PWN28" s="1347"/>
      <c r="PWO28" s="1348"/>
      <c r="PWT28" s="1347"/>
      <c r="PWU28" s="1348"/>
      <c r="PWZ28" s="1347"/>
      <c r="PXA28" s="1348"/>
      <c r="PXF28" s="1347"/>
      <c r="PXG28" s="1348"/>
      <c r="PXL28" s="1347"/>
      <c r="PXM28" s="1348"/>
      <c r="PXR28" s="1347"/>
      <c r="PXS28" s="1348"/>
      <c r="PXX28" s="1347"/>
      <c r="PXY28" s="1348"/>
      <c r="PYD28" s="1347"/>
      <c r="PYE28" s="1348"/>
      <c r="PYJ28" s="1347"/>
      <c r="PYK28" s="1348"/>
      <c r="PYP28" s="1347"/>
      <c r="PYQ28" s="1348"/>
      <c r="PYV28" s="1347"/>
      <c r="PYW28" s="1348"/>
      <c r="PZB28" s="1347"/>
      <c r="PZC28" s="1348"/>
      <c r="PZH28" s="1347"/>
      <c r="PZI28" s="1348"/>
      <c r="PZN28" s="1347"/>
      <c r="PZO28" s="1348"/>
      <c r="PZT28" s="1347"/>
      <c r="PZU28" s="1348"/>
      <c r="PZZ28" s="1347"/>
      <c r="QAA28" s="1348"/>
      <c r="QAF28" s="1347"/>
      <c r="QAG28" s="1348"/>
      <c r="QAL28" s="1347"/>
      <c r="QAM28" s="1348"/>
      <c r="QAR28" s="1347"/>
      <c r="QAS28" s="1348"/>
      <c r="QAX28" s="1347"/>
      <c r="QAY28" s="1348"/>
      <c r="QBD28" s="1347"/>
      <c r="QBE28" s="1348"/>
      <c r="QBJ28" s="1347"/>
      <c r="QBK28" s="1348"/>
      <c r="QBP28" s="1347"/>
      <c r="QBQ28" s="1348"/>
      <c r="QBV28" s="1347"/>
      <c r="QBW28" s="1348"/>
      <c r="QCB28" s="1347"/>
      <c r="QCC28" s="1348"/>
      <c r="QCH28" s="1347"/>
      <c r="QCI28" s="1348"/>
      <c r="QCN28" s="1347"/>
      <c r="QCO28" s="1348"/>
      <c r="QCT28" s="1347"/>
      <c r="QCU28" s="1348"/>
      <c r="QCZ28" s="1347"/>
      <c r="QDA28" s="1348"/>
      <c r="QDF28" s="1347"/>
      <c r="QDG28" s="1348"/>
      <c r="QDL28" s="1347"/>
      <c r="QDM28" s="1348"/>
      <c r="QDR28" s="1347"/>
      <c r="QDS28" s="1348"/>
      <c r="QDX28" s="1347"/>
      <c r="QDY28" s="1348"/>
      <c r="QED28" s="1347"/>
      <c r="QEE28" s="1348"/>
      <c r="QEJ28" s="1347"/>
      <c r="QEK28" s="1348"/>
      <c r="QEP28" s="1347"/>
      <c r="QEQ28" s="1348"/>
      <c r="QEV28" s="1347"/>
      <c r="QEW28" s="1348"/>
      <c r="QFB28" s="1347"/>
      <c r="QFC28" s="1348"/>
      <c r="QFH28" s="1347"/>
      <c r="QFI28" s="1348"/>
      <c r="QFN28" s="1347"/>
      <c r="QFO28" s="1348"/>
      <c r="QFT28" s="1347"/>
      <c r="QFU28" s="1348"/>
      <c r="QFZ28" s="1347"/>
      <c r="QGA28" s="1348"/>
      <c r="QGF28" s="1347"/>
      <c r="QGG28" s="1348"/>
      <c r="QGL28" s="1347"/>
      <c r="QGM28" s="1348"/>
      <c r="QGR28" s="1347"/>
      <c r="QGS28" s="1348"/>
      <c r="QGX28" s="1347"/>
      <c r="QGY28" s="1348"/>
      <c r="QHD28" s="1347"/>
      <c r="QHE28" s="1348"/>
      <c r="QHJ28" s="1347"/>
      <c r="QHK28" s="1348"/>
      <c r="QHP28" s="1347"/>
      <c r="QHQ28" s="1348"/>
      <c r="QHV28" s="1347"/>
      <c r="QHW28" s="1348"/>
      <c r="QIB28" s="1347"/>
      <c r="QIC28" s="1348"/>
      <c r="QIH28" s="1347"/>
      <c r="QII28" s="1348"/>
      <c r="QIN28" s="1347"/>
      <c r="QIO28" s="1348"/>
      <c r="QIT28" s="1347"/>
      <c r="QIU28" s="1348"/>
      <c r="QIZ28" s="1347"/>
      <c r="QJA28" s="1348"/>
      <c r="QJF28" s="1347"/>
      <c r="QJG28" s="1348"/>
      <c r="QJL28" s="1347"/>
      <c r="QJM28" s="1348"/>
      <c r="QJR28" s="1347"/>
      <c r="QJS28" s="1348"/>
      <c r="QJX28" s="1347"/>
      <c r="QJY28" s="1348"/>
      <c r="QKD28" s="1347"/>
      <c r="QKE28" s="1348"/>
      <c r="QKJ28" s="1347"/>
      <c r="QKK28" s="1348"/>
      <c r="QKP28" s="1347"/>
      <c r="QKQ28" s="1348"/>
      <c r="QKV28" s="1347"/>
      <c r="QKW28" s="1348"/>
      <c r="QLB28" s="1347"/>
      <c r="QLC28" s="1348"/>
      <c r="QLH28" s="1347"/>
      <c r="QLI28" s="1348"/>
      <c r="QLN28" s="1347"/>
      <c r="QLO28" s="1348"/>
      <c r="QLT28" s="1347"/>
      <c r="QLU28" s="1348"/>
      <c r="QLZ28" s="1347"/>
      <c r="QMA28" s="1348"/>
      <c r="QMF28" s="1347"/>
      <c r="QMG28" s="1348"/>
      <c r="QML28" s="1347"/>
      <c r="QMM28" s="1348"/>
      <c r="QMR28" s="1347"/>
      <c r="QMS28" s="1348"/>
      <c r="QMX28" s="1347"/>
      <c r="QMY28" s="1348"/>
      <c r="QND28" s="1347"/>
      <c r="QNE28" s="1348"/>
      <c r="QNJ28" s="1347"/>
      <c r="QNK28" s="1348"/>
      <c r="QNP28" s="1347"/>
      <c r="QNQ28" s="1348"/>
      <c r="QNV28" s="1347"/>
      <c r="QNW28" s="1348"/>
      <c r="QOB28" s="1347"/>
      <c r="QOC28" s="1348"/>
      <c r="QOH28" s="1347"/>
      <c r="QOI28" s="1348"/>
      <c r="QON28" s="1347"/>
      <c r="QOO28" s="1348"/>
      <c r="QOT28" s="1347"/>
      <c r="QOU28" s="1348"/>
      <c r="QOZ28" s="1347"/>
      <c r="QPA28" s="1348"/>
      <c r="QPF28" s="1347"/>
      <c r="QPG28" s="1348"/>
      <c r="QPL28" s="1347"/>
      <c r="QPM28" s="1348"/>
      <c r="QPR28" s="1347"/>
      <c r="QPS28" s="1348"/>
      <c r="QPX28" s="1347"/>
      <c r="QPY28" s="1348"/>
      <c r="QQD28" s="1347"/>
      <c r="QQE28" s="1348"/>
      <c r="QQJ28" s="1347"/>
      <c r="QQK28" s="1348"/>
      <c r="QQP28" s="1347"/>
      <c r="QQQ28" s="1348"/>
      <c r="QQV28" s="1347"/>
      <c r="QQW28" s="1348"/>
      <c r="QRB28" s="1347"/>
      <c r="QRC28" s="1348"/>
      <c r="QRH28" s="1347"/>
      <c r="QRI28" s="1348"/>
      <c r="QRN28" s="1347"/>
      <c r="QRO28" s="1348"/>
      <c r="QRT28" s="1347"/>
      <c r="QRU28" s="1348"/>
      <c r="QRZ28" s="1347"/>
      <c r="QSA28" s="1348"/>
      <c r="QSF28" s="1347"/>
      <c r="QSG28" s="1348"/>
      <c r="QSL28" s="1347"/>
      <c r="QSM28" s="1348"/>
      <c r="QSR28" s="1347"/>
      <c r="QSS28" s="1348"/>
      <c r="QSX28" s="1347"/>
      <c r="QSY28" s="1348"/>
      <c r="QTD28" s="1347"/>
      <c r="QTE28" s="1348"/>
      <c r="QTJ28" s="1347"/>
      <c r="QTK28" s="1348"/>
      <c r="QTP28" s="1347"/>
      <c r="QTQ28" s="1348"/>
      <c r="QTV28" s="1347"/>
      <c r="QTW28" s="1348"/>
      <c r="QUB28" s="1347"/>
      <c r="QUC28" s="1348"/>
      <c r="QUH28" s="1347"/>
      <c r="QUI28" s="1348"/>
      <c r="QUN28" s="1347"/>
      <c r="QUO28" s="1348"/>
      <c r="QUT28" s="1347"/>
      <c r="QUU28" s="1348"/>
      <c r="QUZ28" s="1347"/>
      <c r="QVA28" s="1348"/>
      <c r="QVF28" s="1347"/>
      <c r="QVG28" s="1348"/>
      <c r="QVL28" s="1347"/>
      <c r="QVM28" s="1348"/>
      <c r="QVR28" s="1347"/>
      <c r="QVS28" s="1348"/>
      <c r="QVX28" s="1347"/>
      <c r="QVY28" s="1348"/>
      <c r="QWD28" s="1347"/>
      <c r="QWE28" s="1348"/>
      <c r="QWJ28" s="1347"/>
      <c r="QWK28" s="1348"/>
      <c r="QWP28" s="1347"/>
      <c r="QWQ28" s="1348"/>
      <c r="QWV28" s="1347"/>
      <c r="QWW28" s="1348"/>
      <c r="QXB28" s="1347"/>
      <c r="QXC28" s="1348"/>
      <c r="QXH28" s="1347"/>
      <c r="QXI28" s="1348"/>
      <c r="QXN28" s="1347"/>
      <c r="QXO28" s="1348"/>
      <c r="QXT28" s="1347"/>
      <c r="QXU28" s="1348"/>
      <c r="QXZ28" s="1347"/>
      <c r="QYA28" s="1348"/>
      <c r="QYF28" s="1347"/>
      <c r="QYG28" s="1348"/>
      <c r="QYL28" s="1347"/>
      <c r="QYM28" s="1348"/>
      <c r="QYR28" s="1347"/>
      <c r="QYS28" s="1348"/>
      <c r="QYX28" s="1347"/>
      <c r="QYY28" s="1348"/>
      <c r="QZD28" s="1347"/>
      <c r="QZE28" s="1348"/>
      <c r="QZJ28" s="1347"/>
      <c r="QZK28" s="1348"/>
      <c r="QZP28" s="1347"/>
      <c r="QZQ28" s="1348"/>
      <c r="QZV28" s="1347"/>
      <c r="QZW28" s="1348"/>
      <c r="RAB28" s="1347"/>
      <c r="RAC28" s="1348"/>
      <c r="RAH28" s="1347"/>
      <c r="RAI28" s="1348"/>
      <c r="RAN28" s="1347"/>
      <c r="RAO28" s="1348"/>
      <c r="RAT28" s="1347"/>
      <c r="RAU28" s="1348"/>
      <c r="RAZ28" s="1347"/>
      <c r="RBA28" s="1348"/>
      <c r="RBF28" s="1347"/>
      <c r="RBG28" s="1348"/>
      <c r="RBL28" s="1347"/>
      <c r="RBM28" s="1348"/>
      <c r="RBR28" s="1347"/>
      <c r="RBS28" s="1348"/>
      <c r="RBX28" s="1347"/>
      <c r="RBY28" s="1348"/>
      <c r="RCD28" s="1347"/>
      <c r="RCE28" s="1348"/>
      <c r="RCJ28" s="1347"/>
      <c r="RCK28" s="1348"/>
      <c r="RCP28" s="1347"/>
      <c r="RCQ28" s="1348"/>
      <c r="RCV28" s="1347"/>
      <c r="RCW28" s="1348"/>
      <c r="RDB28" s="1347"/>
      <c r="RDC28" s="1348"/>
      <c r="RDH28" s="1347"/>
      <c r="RDI28" s="1348"/>
      <c r="RDN28" s="1347"/>
      <c r="RDO28" s="1348"/>
      <c r="RDT28" s="1347"/>
      <c r="RDU28" s="1348"/>
      <c r="RDZ28" s="1347"/>
      <c r="REA28" s="1348"/>
      <c r="REF28" s="1347"/>
      <c r="REG28" s="1348"/>
      <c r="REL28" s="1347"/>
      <c r="REM28" s="1348"/>
      <c r="RER28" s="1347"/>
      <c r="RES28" s="1348"/>
      <c r="REX28" s="1347"/>
      <c r="REY28" s="1348"/>
      <c r="RFD28" s="1347"/>
      <c r="RFE28" s="1348"/>
      <c r="RFJ28" s="1347"/>
      <c r="RFK28" s="1348"/>
      <c r="RFP28" s="1347"/>
      <c r="RFQ28" s="1348"/>
      <c r="RFV28" s="1347"/>
      <c r="RFW28" s="1348"/>
      <c r="RGB28" s="1347"/>
      <c r="RGC28" s="1348"/>
      <c r="RGH28" s="1347"/>
      <c r="RGI28" s="1348"/>
      <c r="RGN28" s="1347"/>
      <c r="RGO28" s="1348"/>
      <c r="RGT28" s="1347"/>
      <c r="RGU28" s="1348"/>
      <c r="RGZ28" s="1347"/>
      <c r="RHA28" s="1348"/>
      <c r="RHF28" s="1347"/>
      <c r="RHG28" s="1348"/>
      <c r="RHL28" s="1347"/>
      <c r="RHM28" s="1348"/>
      <c r="RHR28" s="1347"/>
      <c r="RHS28" s="1348"/>
      <c r="RHX28" s="1347"/>
      <c r="RHY28" s="1348"/>
      <c r="RID28" s="1347"/>
      <c r="RIE28" s="1348"/>
      <c r="RIJ28" s="1347"/>
      <c r="RIK28" s="1348"/>
      <c r="RIP28" s="1347"/>
      <c r="RIQ28" s="1348"/>
      <c r="RIV28" s="1347"/>
      <c r="RIW28" s="1348"/>
      <c r="RJB28" s="1347"/>
      <c r="RJC28" s="1348"/>
      <c r="RJH28" s="1347"/>
      <c r="RJI28" s="1348"/>
      <c r="RJN28" s="1347"/>
      <c r="RJO28" s="1348"/>
      <c r="RJT28" s="1347"/>
      <c r="RJU28" s="1348"/>
      <c r="RJZ28" s="1347"/>
      <c r="RKA28" s="1348"/>
      <c r="RKF28" s="1347"/>
      <c r="RKG28" s="1348"/>
      <c r="RKL28" s="1347"/>
      <c r="RKM28" s="1348"/>
      <c r="RKR28" s="1347"/>
      <c r="RKS28" s="1348"/>
      <c r="RKX28" s="1347"/>
      <c r="RKY28" s="1348"/>
      <c r="RLD28" s="1347"/>
      <c r="RLE28" s="1348"/>
      <c r="RLJ28" s="1347"/>
      <c r="RLK28" s="1348"/>
      <c r="RLP28" s="1347"/>
      <c r="RLQ28" s="1348"/>
      <c r="RLV28" s="1347"/>
      <c r="RLW28" s="1348"/>
      <c r="RMB28" s="1347"/>
      <c r="RMC28" s="1348"/>
      <c r="RMH28" s="1347"/>
      <c r="RMI28" s="1348"/>
      <c r="RMN28" s="1347"/>
      <c r="RMO28" s="1348"/>
      <c r="RMT28" s="1347"/>
      <c r="RMU28" s="1348"/>
      <c r="RMZ28" s="1347"/>
      <c r="RNA28" s="1348"/>
      <c r="RNF28" s="1347"/>
      <c r="RNG28" s="1348"/>
      <c r="RNL28" s="1347"/>
      <c r="RNM28" s="1348"/>
      <c r="RNR28" s="1347"/>
      <c r="RNS28" s="1348"/>
      <c r="RNX28" s="1347"/>
      <c r="RNY28" s="1348"/>
      <c r="ROD28" s="1347"/>
      <c r="ROE28" s="1348"/>
      <c r="ROJ28" s="1347"/>
      <c r="ROK28" s="1348"/>
      <c r="ROP28" s="1347"/>
      <c r="ROQ28" s="1348"/>
      <c r="ROV28" s="1347"/>
      <c r="ROW28" s="1348"/>
      <c r="RPB28" s="1347"/>
      <c r="RPC28" s="1348"/>
      <c r="RPH28" s="1347"/>
      <c r="RPI28" s="1348"/>
      <c r="RPN28" s="1347"/>
      <c r="RPO28" s="1348"/>
      <c r="RPT28" s="1347"/>
      <c r="RPU28" s="1348"/>
      <c r="RPZ28" s="1347"/>
      <c r="RQA28" s="1348"/>
      <c r="RQF28" s="1347"/>
      <c r="RQG28" s="1348"/>
      <c r="RQL28" s="1347"/>
      <c r="RQM28" s="1348"/>
      <c r="RQR28" s="1347"/>
      <c r="RQS28" s="1348"/>
      <c r="RQX28" s="1347"/>
      <c r="RQY28" s="1348"/>
      <c r="RRD28" s="1347"/>
      <c r="RRE28" s="1348"/>
      <c r="RRJ28" s="1347"/>
      <c r="RRK28" s="1348"/>
      <c r="RRP28" s="1347"/>
      <c r="RRQ28" s="1348"/>
      <c r="RRV28" s="1347"/>
      <c r="RRW28" s="1348"/>
      <c r="RSB28" s="1347"/>
      <c r="RSC28" s="1348"/>
      <c r="RSH28" s="1347"/>
      <c r="RSI28" s="1348"/>
      <c r="RSN28" s="1347"/>
      <c r="RSO28" s="1348"/>
      <c r="RST28" s="1347"/>
      <c r="RSU28" s="1348"/>
      <c r="RSZ28" s="1347"/>
      <c r="RTA28" s="1348"/>
      <c r="RTF28" s="1347"/>
      <c r="RTG28" s="1348"/>
      <c r="RTL28" s="1347"/>
      <c r="RTM28" s="1348"/>
      <c r="RTR28" s="1347"/>
      <c r="RTS28" s="1348"/>
      <c r="RTX28" s="1347"/>
      <c r="RTY28" s="1348"/>
      <c r="RUD28" s="1347"/>
      <c r="RUE28" s="1348"/>
      <c r="RUJ28" s="1347"/>
      <c r="RUK28" s="1348"/>
      <c r="RUP28" s="1347"/>
      <c r="RUQ28" s="1348"/>
      <c r="RUV28" s="1347"/>
      <c r="RUW28" s="1348"/>
      <c r="RVB28" s="1347"/>
      <c r="RVC28" s="1348"/>
      <c r="RVH28" s="1347"/>
      <c r="RVI28" s="1348"/>
      <c r="RVN28" s="1347"/>
      <c r="RVO28" s="1348"/>
      <c r="RVT28" s="1347"/>
      <c r="RVU28" s="1348"/>
      <c r="RVZ28" s="1347"/>
      <c r="RWA28" s="1348"/>
      <c r="RWF28" s="1347"/>
      <c r="RWG28" s="1348"/>
      <c r="RWL28" s="1347"/>
      <c r="RWM28" s="1348"/>
      <c r="RWR28" s="1347"/>
      <c r="RWS28" s="1348"/>
      <c r="RWX28" s="1347"/>
      <c r="RWY28" s="1348"/>
      <c r="RXD28" s="1347"/>
      <c r="RXE28" s="1348"/>
      <c r="RXJ28" s="1347"/>
      <c r="RXK28" s="1348"/>
      <c r="RXP28" s="1347"/>
      <c r="RXQ28" s="1348"/>
      <c r="RXV28" s="1347"/>
      <c r="RXW28" s="1348"/>
      <c r="RYB28" s="1347"/>
      <c r="RYC28" s="1348"/>
      <c r="RYH28" s="1347"/>
      <c r="RYI28" s="1348"/>
      <c r="RYN28" s="1347"/>
      <c r="RYO28" s="1348"/>
      <c r="RYT28" s="1347"/>
      <c r="RYU28" s="1348"/>
      <c r="RYZ28" s="1347"/>
      <c r="RZA28" s="1348"/>
      <c r="RZF28" s="1347"/>
      <c r="RZG28" s="1348"/>
      <c r="RZL28" s="1347"/>
      <c r="RZM28" s="1348"/>
      <c r="RZR28" s="1347"/>
      <c r="RZS28" s="1348"/>
      <c r="RZX28" s="1347"/>
      <c r="RZY28" s="1348"/>
      <c r="SAD28" s="1347"/>
      <c r="SAE28" s="1348"/>
      <c r="SAJ28" s="1347"/>
      <c r="SAK28" s="1348"/>
      <c r="SAP28" s="1347"/>
      <c r="SAQ28" s="1348"/>
      <c r="SAV28" s="1347"/>
      <c r="SAW28" s="1348"/>
      <c r="SBB28" s="1347"/>
      <c r="SBC28" s="1348"/>
      <c r="SBH28" s="1347"/>
      <c r="SBI28" s="1348"/>
      <c r="SBN28" s="1347"/>
      <c r="SBO28" s="1348"/>
      <c r="SBT28" s="1347"/>
      <c r="SBU28" s="1348"/>
      <c r="SBZ28" s="1347"/>
      <c r="SCA28" s="1348"/>
      <c r="SCF28" s="1347"/>
      <c r="SCG28" s="1348"/>
      <c r="SCL28" s="1347"/>
      <c r="SCM28" s="1348"/>
      <c r="SCR28" s="1347"/>
      <c r="SCS28" s="1348"/>
      <c r="SCX28" s="1347"/>
      <c r="SCY28" s="1348"/>
      <c r="SDD28" s="1347"/>
      <c r="SDE28" s="1348"/>
      <c r="SDJ28" s="1347"/>
      <c r="SDK28" s="1348"/>
      <c r="SDP28" s="1347"/>
      <c r="SDQ28" s="1348"/>
      <c r="SDV28" s="1347"/>
      <c r="SDW28" s="1348"/>
      <c r="SEB28" s="1347"/>
      <c r="SEC28" s="1348"/>
      <c r="SEH28" s="1347"/>
      <c r="SEI28" s="1348"/>
      <c r="SEN28" s="1347"/>
      <c r="SEO28" s="1348"/>
      <c r="SET28" s="1347"/>
      <c r="SEU28" s="1348"/>
      <c r="SEZ28" s="1347"/>
      <c r="SFA28" s="1348"/>
      <c r="SFF28" s="1347"/>
      <c r="SFG28" s="1348"/>
      <c r="SFL28" s="1347"/>
      <c r="SFM28" s="1348"/>
      <c r="SFR28" s="1347"/>
      <c r="SFS28" s="1348"/>
      <c r="SFX28" s="1347"/>
      <c r="SFY28" s="1348"/>
      <c r="SGD28" s="1347"/>
      <c r="SGE28" s="1348"/>
      <c r="SGJ28" s="1347"/>
      <c r="SGK28" s="1348"/>
      <c r="SGP28" s="1347"/>
      <c r="SGQ28" s="1348"/>
      <c r="SGV28" s="1347"/>
      <c r="SGW28" s="1348"/>
      <c r="SHB28" s="1347"/>
      <c r="SHC28" s="1348"/>
      <c r="SHH28" s="1347"/>
      <c r="SHI28" s="1348"/>
      <c r="SHN28" s="1347"/>
      <c r="SHO28" s="1348"/>
      <c r="SHT28" s="1347"/>
      <c r="SHU28" s="1348"/>
      <c r="SHZ28" s="1347"/>
      <c r="SIA28" s="1348"/>
      <c r="SIF28" s="1347"/>
      <c r="SIG28" s="1348"/>
      <c r="SIL28" s="1347"/>
      <c r="SIM28" s="1348"/>
      <c r="SIR28" s="1347"/>
      <c r="SIS28" s="1348"/>
      <c r="SIX28" s="1347"/>
      <c r="SIY28" s="1348"/>
      <c r="SJD28" s="1347"/>
      <c r="SJE28" s="1348"/>
      <c r="SJJ28" s="1347"/>
      <c r="SJK28" s="1348"/>
      <c r="SJP28" s="1347"/>
      <c r="SJQ28" s="1348"/>
      <c r="SJV28" s="1347"/>
      <c r="SJW28" s="1348"/>
      <c r="SKB28" s="1347"/>
      <c r="SKC28" s="1348"/>
      <c r="SKH28" s="1347"/>
      <c r="SKI28" s="1348"/>
      <c r="SKN28" s="1347"/>
      <c r="SKO28" s="1348"/>
      <c r="SKT28" s="1347"/>
      <c r="SKU28" s="1348"/>
      <c r="SKZ28" s="1347"/>
      <c r="SLA28" s="1348"/>
      <c r="SLF28" s="1347"/>
      <c r="SLG28" s="1348"/>
      <c r="SLL28" s="1347"/>
      <c r="SLM28" s="1348"/>
      <c r="SLR28" s="1347"/>
      <c r="SLS28" s="1348"/>
      <c r="SLX28" s="1347"/>
      <c r="SLY28" s="1348"/>
      <c r="SMD28" s="1347"/>
      <c r="SME28" s="1348"/>
      <c r="SMJ28" s="1347"/>
      <c r="SMK28" s="1348"/>
      <c r="SMP28" s="1347"/>
      <c r="SMQ28" s="1348"/>
      <c r="SMV28" s="1347"/>
      <c r="SMW28" s="1348"/>
      <c r="SNB28" s="1347"/>
      <c r="SNC28" s="1348"/>
      <c r="SNH28" s="1347"/>
      <c r="SNI28" s="1348"/>
      <c r="SNN28" s="1347"/>
      <c r="SNO28" s="1348"/>
      <c r="SNT28" s="1347"/>
      <c r="SNU28" s="1348"/>
      <c r="SNZ28" s="1347"/>
      <c r="SOA28" s="1348"/>
      <c r="SOF28" s="1347"/>
      <c r="SOG28" s="1348"/>
      <c r="SOL28" s="1347"/>
      <c r="SOM28" s="1348"/>
      <c r="SOR28" s="1347"/>
      <c r="SOS28" s="1348"/>
      <c r="SOX28" s="1347"/>
      <c r="SOY28" s="1348"/>
      <c r="SPD28" s="1347"/>
      <c r="SPE28" s="1348"/>
      <c r="SPJ28" s="1347"/>
      <c r="SPK28" s="1348"/>
      <c r="SPP28" s="1347"/>
      <c r="SPQ28" s="1348"/>
      <c r="SPV28" s="1347"/>
      <c r="SPW28" s="1348"/>
      <c r="SQB28" s="1347"/>
      <c r="SQC28" s="1348"/>
      <c r="SQH28" s="1347"/>
      <c r="SQI28" s="1348"/>
      <c r="SQN28" s="1347"/>
      <c r="SQO28" s="1348"/>
      <c r="SQT28" s="1347"/>
      <c r="SQU28" s="1348"/>
      <c r="SQZ28" s="1347"/>
      <c r="SRA28" s="1348"/>
      <c r="SRF28" s="1347"/>
      <c r="SRG28" s="1348"/>
      <c r="SRL28" s="1347"/>
      <c r="SRM28" s="1348"/>
      <c r="SRR28" s="1347"/>
      <c r="SRS28" s="1348"/>
      <c r="SRX28" s="1347"/>
      <c r="SRY28" s="1348"/>
      <c r="SSD28" s="1347"/>
      <c r="SSE28" s="1348"/>
      <c r="SSJ28" s="1347"/>
      <c r="SSK28" s="1348"/>
      <c r="SSP28" s="1347"/>
      <c r="SSQ28" s="1348"/>
      <c r="SSV28" s="1347"/>
      <c r="SSW28" s="1348"/>
      <c r="STB28" s="1347"/>
      <c r="STC28" s="1348"/>
      <c r="STH28" s="1347"/>
      <c r="STI28" s="1348"/>
      <c r="STN28" s="1347"/>
      <c r="STO28" s="1348"/>
      <c r="STT28" s="1347"/>
      <c r="STU28" s="1348"/>
      <c r="STZ28" s="1347"/>
      <c r="SUA28" s="1348"/>
      <c r="SUF28" s="1347"/>
      <c r="SUG28" s="1348"/>
      <c r="SUL28" s="1347"/>
      <c r="SUM28" s="1348"/>
      <c r="SUR28" s="1347"/>
      <c r="SUS28" s="1348"/>
      <c r="SUX28" s="1347"/>
      <c r="SUY28" s="1348"/>
      <c r="SVD28" s="1347"/>
      <c r="SVE28" s="1348"/>
      <c r="SVJ28" s="1347"/>
      <c r="SVK28" s="1348"/>
      <c r="SVP28" s="1347"/>
      <c r="SVQ28" s="1348"/>
      <c r="SVV28" s="1347"/>
      <c r="SVW28" s="1348"/>
      <c r="SWB28" s="1347"/>
      <c r="SWC28" s="1348"/>
      <c r="SWH28" s="1347"/>
      <c r="SWI28" s="1348"/>
      <c r="SWN28" s="1347"/>
      <c r="SWO28" s="1348"/>
      <c r="SWT28" s="1347"/>
      <c r="SWU28" s="1348"/>
      <c r="SWZ28" s="1347"/>
      <c r="SXA28" s="1348"/>
      <c r="SXF28" s="1347"/>
      <c r="SXG28" s="1348"/>
      <c r="SXL28" s="1347"/>
      <c r="SXM28" s="1348"/>
      <c r="SXR28" s="1347"/>
      <c r="SXS28" s="1348"/>
      <c r="SXX28" s="1347"/>
      <c r="SXY28" s="1348"/>
      <c r="SYD28" s="1347"/>
      <c r="SYE28" s="1348"/>
      <c r="SYJ28" s="1347"/>
      <c r="SYK28" s="1348"/>
      <c r="SYP28" s="1347"/>
      <c r="SYQ28" s="1348"/>
      <c r="SYV28" s="1347"/>
      <c r="SYW28" s="1348"/>
      <c r="SZB28" s="1347"/>
      <c r="SZC28" s="1348"/>
      <c r="SZH28" s="1347"/>
      <c r="SZI28" s="1348"/>
      <c r="SZN28" s="1347"/>
      <c r="SZO28" s="1348"/>
      <c r="SZT28" s="1347"/>
      <c r="SZU28" s="1348"/>
      <c r="SZZ28" s="1347"/>
      <c r="TAA28" s="1348"/>
      <c r="TAF28" s="1347"/>
      <c r="TAG28" s="1348"/>
      <c r="TAL28" s="1347"/>
      <c r="TAM28" s="1348"/>
      <c r="TAR28" s="1347"/>
      <c r="TAS28" s="1348"/>
      <c r="TAX28" s="1347"/>
      <c r="TAY28" s="1348"/>
      <c r="TBD28" s="1347"/>
      <c r="TBE28" s="1348"/>
      <c r="TBJ28" s="1347"/>
      <c r="TBK28" s="1348"/>
      <c r="TBP28" s="1347"/>
      <c r="TBQ28" s="1348"/>
      <c r="TBV28" s="1347"/>
      <c r="TBW28" s="1348"/>
      <c r="TCB28" s="1347"/>
      <c r="TCC28" s="1348"/>
      <c r="TCH28" s="1347"/>
      <c r="TCI28" s="1348"/>
      <c r="TCN28" s="1347"/>
      <c r="TCO28" s="1348"/>
      <c r="TCT28" s="1347"/>
      <c r="TCU28" s="1348"/>
      <c r="TCZ28" s="1347"/>
      <c r="TDA28" s="1348"/>
      <c r="TDF28" s="1347"/>
      <c r="TDG28" s="1348"/>
      <c r="TDL28" s="1347"/>
      <c r="TDM28" s="1348"/>
      <c r="TDR28" s="1347"/>
      <c r="TDS28" s="1348"/>
      <c r="TDX28" s="1347"/>
      <c r="TDY28" s="1348"/>
      <c r="TED28" s="1347"/>
      <c r="TEE28" s="1348"/>
      <c r="TEJ28" s="1347"/>
      <c r="TEK28" s="1348"/>
      <c r="TEP28" s="1347"/>
      <c r="TEQ28" s="1348"/>
      <c r="TEV28" s="1347"/>
      <c r="TEW28" s="1348"/>
      <c r="TFB28" s="1347"/>
      <c r="TFC28" s="1348"/>
      <c r="TFH28" s="1347"/>
      <c r="TFI28" s="1348"/>
      <c r="TFN28" s="1347"/>
      <c r="TFO28" s="1348"/>
      <c r="TFT28" s="1347"/>
      <c r="TFU28" s="1348"/>
      <c r="TFZ28" s="1347"/>
      <c r="TGA28" s="1348"/>
      <c r="TGF28" s="1347"/>
      <c r="TGG28" s="1348"/>
      <c r="TGL28" s="1347"/>
      <c r="TGM28" s="1348"/>
      <c r="TGR28" s="1347"/>
      <c r="TGS28" s="1348"/>
      <c r="TGX28" s="1347"/>
      <c r="TGY28" s="1348"/>
      <c r="THD28" s="1347"/>
      <c r="THE28" s="1348"/>
      <c r="THJ28" s="1347"/>
      <c r="THK28" s="1348"/>
      <c r="THP28" s="1347"/>
      <c r="THQ28" s="1348"/>
      <c r="THV28" s="1347"/>
      <c r="THW28" s="1348"/>
      <c r="TIB28" s="1347"/>
      <c r="TIC28" s="1348"/>
      <c r="TIH28" s="1347"/>
      <c r="TII28" s="1348"/>
      <c r="TIN28" s="1347"/>
      <c r="TIO28" s="1348"/>
      <c r="TIT28" s="1347"/>
      <c r="TIU28" s="1348"/>
      <c r="TIZ28" s="1347"/>
      <c r="TJA28" s="1348"/>
      <c r="TJF28" s="1347"/>
      <c r="TJG28" s="1348"/>
      <c r="TJL28" s="1347"/>
      <c r="TJM28" s="1348"/>
      <c r="TJR28" s="1347"/>
      <c r="TJS28" s="1348"/>
      <c r="TJX28" s="1347"/>
      <c r="TJY28" s="1348"/>
      <c r="TKD28" s="1347"/>
      <c r="TKE28" s="1348"/>
      <c r="TKJ28" s="1347"/>
      <c r="TKK28" s="1348"/>
      <c r="TKP28" s="1347"/>
      <c r="TKQ28" s="1348"/>
      <c r="TKV28" s="1347"/>
      <c r="TKW28" s="1348"/>
      <c r="TLB28" s="1347"/>
      <c r="TLC28" s="1348"/>
      <c r="TLH28" s="1347"/>
      <c r="TLI28" s="1348"/>
      <c r="TLN28" s="1347"/>
      <c r="TLO28" s="1348"/>
      <c r="TLT28" s="1347"/>
      <c r="TLU28" s="1348"/>
      <c r="TLZ28" s="1347"/>
      <c r="TMA28" s="1348"/>
      <c r="TMF28" s="1347"/>
      <c r="TMG28" s="1348"/>
      <c r="TML28" s="1347"/>
      <c r="TMM28" s="1348"/>
      <c r="TMR28" s="1347"/>
      <c r="TMS28" s="1348"/>
      <c r="TMX28" s="1347"/>
      <c r="TMY28" s="1348"/>
      <c r="TND28" s="1347"/>
      <c r="TNE28" s="1348"/>
      <c r="TNJ28" s="1347"/>
      <c r="TNK28" s="1348"/>
      <c r="TNP28" s="1347"/>
      <c r="TNQ28" s="1348"/>
      <c r="TNV28" s="1347"/>
      <c r="TNW28" s="1348"/>
      <c r="TOB28" s="1347"/>
      <c r="TOC28" s="1348"/>
      <c r="TOH28" s="1347"/>
      <c r="TOI28" s="1348"/>
      <c r="TON28" s="1347"/>
      <c r="TOO28" s="1348"/>
      <c r="TOT28" s="1347"/>
      <c r="TOU28" s="1348"/>
      <c r="TOZ28" s="1347"/>
      <c r="TPA28" s="1348"/>
      <c r="TPF28" s="1347"/>
      <c r="TPG28" s="1348"/>
      <c r="TPL28" s="1347"/>
      <c r="TPM28" s="1348"/>
      <c r="TPR28" s="1347"/>
      <c r="TPS28" s="1348"/>
      <c r="TPX28" s="1347"/>
      <c r="TPY28" s="1348"/>
      <c r="TQD28" s="1347"/>
      <c r="TQE28" s="1348"/>
      <c r="TQJ28" s="1347"/>
      <c r="TQK28" s="1348"/>
      <c r="TQP28" s="1347"/>
      <c r="TQQ28" s="1348"/>
      <c r="TQV28" s="1347"/>
      <c r="TQW28" s="1348"/>
      <c r="TRB28" s="1347"/>
      <c r="TRC28" s="1348"/>
      <c r="TRH28" s="1347"/>
      <c r="TRI28" s="1348"/>
      <c r="TRN28" s="1347"/>
      <c r="TRO28" s="1348"/>
      <c r="TRT28" s="1347"/>
      <c r="TRU28" s="1348"/>
      <c r="TRZ28" s="1347"/>
      <c r="TSA28" s="1348"/>
      <c r="TSF28" s="1347"/>
      <c r="TSG28" s="1348"/>
      <c r="TSL28" s="1347"/>
      <c r="TSM28" s="1348"/>
      <c r="TSR28" s="1347"/>
      <c r="TSS28" s="1348"/>
      <c r="TSX28" s="1347"/>
      <c r="TSY28" s="1348"/>
      <c r="TTD28" s="1347"/>
      <c r="TTE28" s="1348"/>
      <c r="TTJ28" s="1347"/>
      <c r="TTK28" s="1348"/>
      <c r="TTP28" s="1347"/>
      <c r="TTQ28" s="1348"/>
      <c r="TTV28" s="1347"/>
      <c r="TTW28" s="1348"/>
      <c r="TUB28" s="1347"/>
      <c r="TUC28" s="1348"/>
      <c r="TUH28" s="1347"/>
      <c r="TUI28" s="1348"/>
      <c r="TUN28" s="1347"/>
      <c r="TUO28" s="1348"/>
      <c r="TUT28" s="1347"/>
      <c r="TUU28" s="1348"/>
      <c r="TUZ28" s="1347"/>
      <c r="TVA28" s="1348"/>
      <c r="TVF28" s="1347"/>
      <c r="TVG28" s="1348"/>
      <c r="TVL28" s="1347"/>
      <c r="TVM28" s="1348"/>
      <c r="TVR28" s="1347"/>
      <c r="TVS28" s="1348"/>
      <c r="TVX28" s="1347"/>
      <c r="TVY28" s="1348"/>
      <c r="TWD28" s="1347"/>
      <c r="TWE28" s="1348"/>
      <c r="TWJ28" s="1347"/>
      <c r="TWK28" s="1348"/>
      <c r="TWP28" s="1347"/>
      <c r="TWQ28" s="1348"/>
      <c r="TWV28" s="1347"/>
      <c r="TWW28" s="1348"/>
      <c r="TXB28" s="1347"/>
      <c r="TXC28" s="1348"/>
      <c r="TXH28" s="1347"/>
      <c r="TXI28" s="1348"/>
      <c r="TXN28" s="1347"/>
      <c r="TXO28" s="1348"/>
      <c r="TXT28" s="1347"/>
      <c r="TXU28" s="1348"/>
      <c r="TXZ28" s="1347"/>
      <c r="TYA28" s="1348"/>
      <c r="TYF28" s="1347"/>
      <c r="TYG28" s="1348"/>
      <c r="TYL28" s="1347"/>
      <c r="TYM28" s="1348"/>
      <c r="TYR28" s="1347"/>
      <c r="TYS28" s="1348"/>
      <c r="TYX28" s="1347"/>
      <c r="TYY28" s="1348"/>
      <c r="TZD28" s="1347"/>
      <c r="TZE28" s="1348"/>
      <c r="TZJ28" s="1347"/>
      <c r="TZK28" s="1348"/>
      <c r="TZP28" s="1347"/>
      <c r="TZQ28" s="1348"/>
      <c r="TZV28" s="1347"/>
      <c r="TZW28" s="1348"/>
      <c r="UAB28" s="1347"/>
      <c r="UAC28" s="1348"/>
      <c r="UAH28" s="1347"/>
      <c r="UAI28" s="1348"/>
      <c r="UAN28" s="1347"/>
      <c r="UAO28" s="1348"/>
      <c r="UAT28" s="1347"/>
      <c r="UAU28" s="1348"/>
      <c r="UAZ28" s="1347"/>
      <c r="UBA28" s="1348"/>
      <c r="UBF28" s="1347"/>
      <c r="UBG28" s="1348"/>
      <c r="UBL28" s="1347"/>
      <c r="UBM28" s="1348"/>
      <c r="UBR28" s="1347"/>
      <c r="UBS28" s="1348"/>
      <c r="UBX28" s="1347"/>
      <c r="UBY28" s="1348"/>
      <c r="UCD28" s="1347"/>
      <c r="UCE28" s="1348"/>
      <c r="UCJ28" s="1347"/>
      <c r="UCK28" s="1348"/>
      <c r="UCP28" s="1347"/>
      <c r="UCQ28" s="1348"/>
      <c r="UCV28" s="1347"/>
      <c r="UCW28" s="1348"/>
      <c r="UDB28" s="1347"/>
      <c r="UDC28" s="1348"/>
      <c r="UDH28" s="1347"/>
      <c r="UDI28" s="1348"/>
      <c r="UDN28" s="1347"/>
      <c r="UDO28" s="1348"/>
      <c r="UDT28" s="1347"/>
      <c r="UDU28" s="1348"/>
      <c r="UDZ28" s="1347"/>
      <c r="UEA28" s="1348"/>
      <c r="UEF28" s="1347"/>
      <c r="UEG28" s="1348"/>
      <c r="UEL28" s="1347"/>
      <c r="UEM28" s="1348"/>
      <c r="UER28" s="1347"/>
      <c r="UES28" s="1348"/>
      <c r="UEX28" s="1347"/>
      <c r="UEY28" s="1348"/>
      <c r="UFD28" s="1347"/>
      <c r="UFE28" s="1348"/>
      <c r="UFJ28" s="1347"/>
      <c r="UFK28" s="1348"/>
      <c r="UFP28" s="1347"/>
      <c r="UFQ28" s="1348"/>
      <c r="UFV28" s="1347"/>
      <c r="UFW28" s="1348"/>
      <c r="UGB28" s="1347"/>
      <c r="UGC28" s="1348"/>
      <c r="UGH28" s="1347"/>
      <c r="UGI28" s="1348"/>
      <c r="UGN28" s="1347"/>
      <c r="UGO28" s="1348"/>
      <c r="UGT28" s="1347"/>
      <c r="UGU28" s="1348"/>
      <c r="UGZ28" s="1347"/>
      <c r="UHA28" s="1348"/>
      <c r="UHF28" s="1347"/>
      <c r="UHG28" s="1348"/>
      <c r="UHL28" s="1347"/>
      <c r="UHM28" s="1348"/>
      <c r="UHR28" s="1347"/>
      <c r="UHS28" s="1348"/>
      <c r="UHX28" s="1347"/>
      <c r="UHY28" s="1348"/>
      <c r="UID28" s="1347"/>
      <c r="UIE28" s="1348"/>
      <c r="UIJ28" s="1347"/>
      <c r="UIK28" s="1348"/>
      <c r="UIP28" s="1347"/>
      <c r="UIQ28" s="1348"/>
      <c r="UIV28" s="1347"/>
      <c r="UIW28" s="1348"/>
      <c r="UJB28" s="1347"/>
      <c r="UJC28" s="1348"/>
      <c r="UJH28" s="1347"/>
      <c r="UJI28" s="1348"/>
      <c r="UJN28" s="1347"/>
      <c r="UJO28" s="1348"/>
      <c r="UJT28" s="1347"/>
      <c r="UJU28" s="1348"/>
      <c r="UJZ28" s="1347"/>
      <c r="UKA28" s="1348"/>
      <c r="UKF28" s="1347"/>
      <c r="UKG28" s="1348"/>
      <c r="UKL28" s="1347"/>
      <c r="UKM28" s="1348"/>
      <c r="UKR28" s="1347"/>
      <c r="UKS28" s="1348"/>
      <c r="UKX28" s="1347"/>
      <c r="UKY28" s="1348"/>
      <c r="ULD28" s="1347"/>
      <c r="ULE28" s="1348"/>
      <c r="ULJ28" s="1347"/>
      <c r="ULK28" s="1348"/>
      <c r="ULP28" s="1347"/>
      <c r="ULQ28" s="1348"/>
      <c r="ULV28" s="1347"/>
      <c r="ULW28" s="1348"/>
      <c r="UMB28" s="1347"/>
      <c r="UMC28" s="1348"/>
      <c r="UMH28" s="1347"/>
      <c r="UMI28" s="1348"/>
      <c r="UMN28" s="1347"/>
      <c r="UMO28" s="1348"/>
      <c r="UMT28" s="1347"/>
      <c r="UMU28" s="1348"/>
      <c r="UMZ28" s="1347"/>
      <c r="UNA28" s="1348"/>
      <c r="UNF28" s="1347"/>
      <c r="UNG28" s="1348"/>
      <c r="UNL28" s="1347"/>
      <c r="UNM28" s="1348"/>
      <c r="UNR28" s="1347"/>
      <c r="UNS28" s="1348"/>
      <c r="UNX28" s="1347"/>
      <c r="UNY28" s="1348"/>
      <c r="UOD28" s="1347"/>
      <c r="UOE28" s="1348"/>
      <c r="UOJ28" s="1347"/>
      <c r="UOK28" s="1348"/>
      <c r="UOP28" s="1347"/>
      <c r="UOQ28" s="1348"/>
      <c r="UOV28" s="1347"/>
      <c r="UOW28" s="1348"/>
      <c r="UPB28" s="1347"/>
      <c r="UPC28" s="1348"/>
      <c r="UPH28" s="1347"/>
      <c r="UPI28" s="1348"/>
      <c r="UPN28" s="1347"/>
      <c r="UPO28" s="1348"/>
      <c r="UPT28" s="1347"/>
      <c r="UPU28" s="1348"/>
      <c r="UPZ28" s="1347"/>
      <c r="UQA28" s="1348"/>
      <c r="UQF28" s="1347"/>
      <c r="UQG28" s="1348"/>
      <c r="UQL28" s="1347"/>
      <c r="UQM28" s="1348"/>
      <c r="UQR28" s="1347"/>
      <c r="UQS28" s="1348"/>
      <c r="UQX28" s="1347"/>
      <c r="UQY28" s="1348"/>
      <c r="URD28" s="1347"/>
      <c r="URE28" s="1348"/>
      <c r="URJ28" s="1347"/>
      <c r="URK28" s="1348"/>
      <c r="URP28" s="1347"/>
      <c r="URQ28" s="1348"/>
      <c r="URV28" s="1347"/>
      <c r="URW28" s="1348"/>
      <c r="USB28" s="1347"/>
      <c r="USC28" s="1348"/>
      <c r="USH28" s="1347"/>
      <c r="USI28" s="1348"/>
      <c r="USN28" s="1347"/>
      <c r="USO28" s="1348"/>
      <c r="UST28" s="1347"/>
      <c r="USU28" s="1348"/>
      <c r="USZ28" s="1347"/>
      <c r="UTA28" s="1348"/>
      <c r="UTF28" s="1347"/>
      <c r="UTG28" s="1348"/>
      <c r="UTL28" s="1347"/>
      <c r="UTM28" s="1348"/>
      <c r="UTR28" s="1347"/>
      <c r="UTS28" s="1348"/>
      <c r="UTX28" s="1347"/>
      <c r="UTY28" s="1348"/>
      <c r="UUD28" s="1347"/>
      <c r="UUE28" s="1348"/>
      <c r="UUJ28" s="1347"/>
      <c r="UUK28" s="1348"/>
      <c r="UUP28" s="1347"/>
      <c r="UUQ28" s="1348"/>
      <c r="UUV28" s="1347"/>
      <c r="UUW28" s="1348"/>
      <c r="UVB28" s="1347"/>
      <c r="UVC28" s="1348"/>
      <c r="UVH28" s="1347"/>
      <c r="UVI28" s="1348"/>
      <c r="UVN28" s="1347"/>
      <c r="UVO28" s="1348"/>
      <c r="UVT28" s="1347"/>
      <c r="UVU28" s="1348"/>
      <c r="UVZ28" s="1347"/>
      <c r="UWA28" s="1348"/>
      <c r="UWF28" s="1347"/>
      <c r="UWG28" s="1348"/>
      <c r="UWL28" s="1347"/>
      <c r="UWM28" s="1348"/>
      <c r="UWR28" s="1347"/>
      <c r="UWS28" s="1348"/>
      <c r="UWX28" s="1347"/>
      <c r="UWY28" s="1348"/>
      <c r="UXD28" s="1347"/>
      <c r="UXE28" s="1348"/>
      <c r="UXJ28" s="1347"/>
      <c r="UXK28" s="1348"/>
      <c r="UXP28" s="1347"/>
      <c r="UXQ28" s="1348"/>
      <c r="UXV28" s="1347"/>
      <c r="UXW28" s="1348"/>
      <c r="UYB28" s="1347"/>
      <c r="UYC28" s="1348"/>
      <c r="UYH28" s="1347"/>
      <c r="UYI28" s="1348"/>
      <c r="UYN28" s="1347"/>
      <c r="UYO28" s="1348"/>
      <c r="UYT28" s="1347"/>
      <c r="UYU28" s="1348"/>
      <c r="UYZ28" s="1347"/>
      <c r="UZA28" s="1348"/>
      <c r="UZF28" s="1347"/>
      <c r="UZG28" s="1348"/>
      <c r="UZL28" s="1347"/>
      <c r="UZM28" s="1348"/>
      <c r="UZR28" s="1347"/>
      <c r="UZS28" s="1348"/>
      <c r="UZX28" s="1347"/>
      <c r="UZY28" s="1348"/>
      <c r="VAD28" s="1347"/>
      <c r="VAE28" s="1348"/>
      <c r="VAJ28" s="1347"/>
      <c r="VAK28" s="1348"/>
      <c r="VAP28" s="1347"/>
      <c r="VAQ28" s="1348"/>
      <c r="VAV28" s="1347"/>
      <c r="VAW28" s="1348"/>
      <c r="VBB28" s="1347"/>
      <c r="VBC28" s="1348"/>
      <c r="VBH28" s="1347"/>
      <c r="VBI28" s="1348"/>
      <c r="VBN28" s="1347"/>
      <c r="VBO28" s="1348"/>
      <c r="VBT28" s="1347"/>
      <c r="VBU28" s="1348"/>
      <c r="VBZ28" s="1347"/>
      <c r="VCA28" s="1348"/>
      <c r="VCF28" s="1347"/>
      <c r="VCG28" s="1348"/>
      <c r="VCL28" s="1347"/>
      <c r="VCM28" s="1348"/>
      <c r="VCR28" s="1347"/>
      <c r="VCS28" s="1348"/>
      <c r="VCX28" s="1347"/>
      <c r="VCY28" s="1348"/>
      <c r="VDD28" s="1347"/>
      <c r="VDE28" s="1348"/>
      <c r="VDJ28" s="1347"/>
      <c r="VDK28" s="1348"/>
      <c r="VDP28" s="1347"/>
      <c r="VDQ28" s="1348"/>
      <c r="VDV28" s="1347"/>
      <c r="VDW28" s="1348"/>
      <c r="VEB28" s="1347"/>
      <c r="VEC28" s="1348"/>
      <c r="VEH28" s="1347"/>
      <c r="VEI28" s="1348"/>
      <c r="VEN28" s="1347"/>
      <c r="VEO28" s="1348"/>
      <c r="VET28" s="1347"/>
      <c r="VEU28" s="1348"/>
      <c r="VEZ28" s="1347"/>
      <c r="VFA28" s="1348"/>
      <c r="VFF28" s="1347"/>
      <c r="VFG28" s="1348"/>
      <c r="VFL28" s="1347"/>
      <c r="VFM28" s="1348"/>
      <c r="VFR28" s="1347"/>
      <c r="VFS28" s="1348"/>
      <c r="VFX28" s="1347"/>
      <c r="VFY28" s="1348"/>
      <c r="VGD28" s="1347"/>
      <c r="VGE28" s="1348"/>
      <c r="VGJ28" s="1347"/>
      <c r="VGK28" s="1348"/>
      <c r="VGP28" s="1347"/>
      <c r="VGQ28" s="1348"/>
      <c r="VGV28" s="1347"/>
      <c r="VGW28" s="1348"/>
      <c r="VHB28" s="1347"/>
      <c r="VHC28" s="1348"/>
      <c r="VHH28" s="1347"/>
      <c r="VHI28" s="1348"/>
      <c r="VHN28" s="1347"/>
      <c r="VHO28" s="1348"/>
      <c r="VHT28" s="1347"/>
      <c r="VHU28" s="1348"/>
      <c r="VHZ28" s="1347"/>
      <c r="VIA28" s="1348"/>
      <c r="VIF28" s="1347"/>
      <c r="VIG28" s="1348"/>
      <c r="VIL28" s="1347"/>
      <c r="VIM28" s="1348"/>
      <c r="VIR28" s="1347"/>
      <c r="VIS28" s="1348"/>
      <c r="VIX28" s="1347"/>
      <c r="VIY28" s="1348"/>
      <c r="VJD28" s="1347"/>
      <c r="VJE28" s="1348"/>
      <c r="VJJ28" s="1347"/>
      <c r="VJK28" s="1348"/>
      <c r="VJP28" s="1347"/>
      <c r="VJQ28" s="1348"/>
      <c r="VJV28" s="1347"/>
      <c r="VJW28" s="1348"/>
      <c r="VKB28" s="1347"/>
      <c r="VKC28" s="1348"/>
      <c r="VKH28" s="1347"/>
      <c r="VKI28" s="1348"/>
      <c r="VKN28" s="1347"/>
      <c r="VKO28" s="1348"/>
      <c r="VKT28" s="1347"/>
      <c r="VKU28" s="1348"/>
      <c r="VKZ28" s="1347"/>
      <c r="VLA28" s="1348"/>
      <c r="VLF28" s="1347"/>
      <c r="VLG28" s="1348"/>
      <c r="VLL28" s="1347"/>
      <c r="VLM28" s="1348"/>
      <c r="VLR28" s="1347"/>
      <c r="VLS28" s="1348"/>
      <c r="VLX28" s="1347"/>
      <c r="VLY28" s="1348"/>
      <c r="VMD28" s="1347"/>
      <c r="VME28" s="1348"/>
      <c r="VMJ28" s="1347"/>
      <c r="VMK28" s="1348"/>
      <c r="VMP28" s="1347"/>
      <c r="VMQ28" s="1348"/>
      <c r="VMV28" s="1347"/>
      <c r="VMW28" s="1348"/>
      <c r="VNB28" s="1347"/>
      <c r="VNC28" s="1348"/>
      <c r="VNH28" s="1347"/>
      <c r="VNI28" s="1348"/>
      <c r="VNN28" s="1347"/>
      <c r="VNO28" s="1348"/>
      <c r="VNT28" s="1347"/>
      <c r="VNU28" s="1348"/>
      <c r="VNZ28" s="1347"/>
      <c r="VOA28" s="1348"/>
      <c r="VOF28" s="1347"/>
      <c r="VOG28" s="1348"/>
      <c r="VOL28" s="1347"/>
      <c r="VOM28" s="1348"/>
      <c r="VOR28" s="1347"/>
      <c r="VOS28" s="1348"/>
      <c r="VOX28" s="1347"/>
      <c r="VOY28" s="1348"/>
      <c r="VPD28" s="1347"/>
      <c r="VPE28" s="1348"/>
      <c r="VPJ28" s="1347"/>
      <c r="VPK28" s="1348"/>
      <c r="VPP28" s="1347"/>
      <c r="VPQ28" s="1348"/>
      <c r="VPV28" s="1347"/>
      <c r="VPW28" s="1348"/>
      <c r="VQB28" s="1347"/>
      <c r="VQC28" s="1348"/>
      <c r="VQH28" s="1347"/>
      <c r="VQI28" s="1348"/>
      <c r="VQN28" s="1347"/>
      <c r="VQO28" s="1348"/>
      <c r="VQT28" s="1347"/>
      <c r="VQU28" s="1348"/>
      <c r="VQZ28" s="1347"/>
      <c r="VRA28" s="1348"/>
      <c r="VRF28" s="1347"/>
      <c r="VRG28" s="1348"/>
      <c r="VRL28" s="1347"/>
      <c r="VRM28" s="1348"/>
      <c r="VRR28" s="1347"/>
      <c r="VRS28" s="1348"/>
      <c r="VRX28" s="1347"/>
      <c r="VRY28" s="1348"/>
      <c r="VSD28" s="1347"/>
      <c r="VSE28" s="1348"/>
      <c r="VSJ28" s="1347"/>
      <c r="VSK28" s="1348"/>
      <c r="VSP28" s="1347"/>
      <c r="VSQ28" s="1348"/>
      <c r="VSV28" s="1347"/>
      <c r="VSW28" s="1348"/>
      <c r="VTB28" s="1347"/>
      <c r="VTC28" s="1348"/>
      <c r="VTH28" s="1347"/>
      <c r="VTI28" s="1348"/>
      <c r="VTN28" s="1347"/>
      <c r="VTO28" s="1348"/>
      <c r="VTT28" s="1347"/>
      <c r="VTU28" s="1348"/>
      <c r="VTZ28" s="1347"/>
      <c r="VUA28" s="1348"/>
      <c r="VUF28" s="1347"/>
      <c r="VUG28" s="1348"/>
      <c r="VUL28" s="1347"/>
      <c r="VUM28" s="1348"/>
      <c r="VUR28" s="1347"/>
      <c r="VUS28" s="1348"/>
      <c r="VUX28" s="1347"/>
      <c r="VUY28" s="1348"/>
      <c r="VVD28" s="1347"/>
      <c r="VVE28" s="1348"/>
      <c r="VVJ28" s="1347"/>
      <c r="VVK28" s="1348"/>
      <c r="VVP28" s="1347"/>
      <c r="VVQ28" s="1348"/>
      <c r="VVV28" s="1347"/>
      <c r="VVW28" s="1348"/>
      <c r="VWB28" s="1347"/>
      <c r="VWC28" s="1348"/>
      <c r="VWH28" s="1347"/>
      <c r="VWI28" s="1348"/>
      <c r="VWN28" s="1347"/>
      <c r="VWO28" s="1348"/>
      <c r="VWT28" s="1347"/>
      <c r="VWU28" s="1348"/>
      <c r="VWZ28" s="1347"/>
      <c r="VXA28" s="1348"/>
      <c r="VXF28" s="1347"/>
      <c r="VXG28" s="1348"/>
      <c r="VXL28" s="1347"/>
      <c r="VXM28" s="1348"/>
      <c r="VXR28" s="1347"/>
      <c r="VXS28" s="1348"/>
      <c r="VXX28" s="1347"/>
      <c r="VXY28" s="1348"/>
      <c r="VYD28" s="1347"/>
      <c r="VYE28" s="1348"/>
      <c r="VYJ28" s="1347"/>
      <c r="VYK28" s="1348"/>
      <c r="VYP28" s="1347"/>
      <c r="VYQ28" s="1348"/>
      <c r="VYV28" s="1347"/>
      <c r="VYW28" s="1348"/>
      <c r="VZB28" s="1347"/>
      <c r="VZC28" s="1348"/>
      <c r="VZH28" s="1347"/>
      <c r="VZI28" s="1348"/>
      <c r="VZN28" s="1347"/>
      <c r="VZO28" s="1348"/>
      <c r="VZT28" s="1347"/>
      <c r="VZU28" s="1348"/>
      <c r="VZZ28" s="1347"/>
      <c r="WAA28" s="1348"/>
      <c r="WAF28" s="1347"/>
      <c r="WAG28" s="1348"/>
      <c r="WAL28" s="1347"/>
      <c r="WAM28" s="1348"/>
      <c r="WAR28" s="1347"/>
      <c r="WAS28" s="1348"/>
      <c r="WAX28" s="1347"/>
      <c r="WAY28" s="1348"/>
      <c r="WBD28" s="1347"/>
      <c r="WBE28" s="1348"/>
      <c r="WBJ28" s="1347"/>
      <c r="WBK28" s="1348"/>
      <c r="WBP28" s="1347"/>
      <c r="WBQ28" s="1348"/>
      <c r="WBV28" s="1347"/>
      <c r="WBW28" s="1348"/>
      <c r="WCB28" s="1347"/>
      <c r="WCC28" s="1348"/>
      <c r="WCH28" s="1347"/>
      <c r="WCI28" s="1348"/>
      <c r="WCN28" s="1347"/>
      <c r="WCO28" s="1348"/>
      <c r="WCT28" s="1347"/>
      <c r="WCU28" s="1348"/>
      <c r="WCZ28" s="1347"/>
      <c r="WDA28" s="1348"/>
      <c r="WDF28" s="1347"/>
      <c r="WDG28" s="1348"/>
      <c r="WDL28" s="1347"/>
      <c r="WDM28" s="1348"/>
      <c r="WDR28" s="1347"/>
      <c r="WDS28" s="1348"/>
      <c r="WDX28" s="1347"/>
      <c r="WDY28" s="1348"/>
      <c r="WED28" s="1347"/>
      <c r="WEE28" s="1348"/>
      <c r="WEJ28" s="1347"/>
      <c r="WEK28" s="1348"/>
      <c r="WEP28" s="1347"/>
      <c r="WEQ28" s="1348"/>
      <c r="WEV28" s="1347"/>
      <c r="WEW28" s="1348"/>
      <c r="WFB28" s="1347"/>
      <c r="WFC28" s="1348"/>
      <c r="WFH28" s="1347"/>
      <c r="WFI28" s="1348"/>
      <c r="WFN28" s="1347"/>
      <c r="WFO28" s="1348"/>
      <c r="WFT28" s="1347"/>
      <c r="WFU28" s="1348"/>
      <c r="WFZ28" s="1347"/>
      <c r="WGA28" s="1348"/>
      <c r="WGF28" s="1347"/>
      <c r="WGG28" s="1348"/>
      <c r="WGL28" s="1347"/>
      <c r="WGM28" s="1348"/>
      <c r="WGR28" s="1347"/>
      <c r="WGS28" s="1348"/>
      <c r="WGX28" s="1347"/>
      <c r="WGY28" s="1348"/>
      <c r="WHD28" s="1347"/>
      <c r="WHE28" s="1348"/>
      <c r="WHJ28" s="1347"/>
      <c r="WHK28" s="1348"/>
      <c r="WHP28" s="1347"/>
      <c r="WHQ28" s="1348"/>
      <c r="WHV28" s="1347"/>
      <c r="WHW28" s="1348"/>
      <c r="WIB28" s="1347"/>
      <c r="WIC28" s="1348"/>
      <c r="WIH28" s="1347"/>
      <c r="WII28" s="1348"/>
      <c r="WIN28" s="1347"/>
      <c r="WIO28" s="1348"/>
      <c r="WIT28" s="1347"/>
      <c r="WIU28" s="1348"/>
      <c r="WIZ28" s="1347"/>
      <c r="WJA28" s="1348"/>
      <c r="WJF28" s="1347"/>
      <c r="WJG28" s="1348"/>
      <c r="WJL28" s="1347"/>
      <c r="WJM28" s="1348"/>
      <c r="WJR28" s="1347"/>
      <c r="WJS28" s="1348"/>
      <c r="WJX28" s="1347"/>
      <c r="WJY28" s="1348"/>
      <c r="WKD28" s="1347"/>
      <c r="WKE28" s="1348"/>
      <c r="WKJ28" s="1347"/>
      <c r="WKK28" s="1348"/>
      <c r="WKP28" s="1347"/>
      <c r="WKQ28" s="1348"/>
      <c r="WKV28" s="1347"/>
      <c r="WKW28" s="1348"/>
      <c r="WLB28" s="1347"/>
      <c r="WLC28" s="1348"/>
      <c r="WLH28" s="1347"/>
      <c r="WLI28" s="1348"/>
      <c r="WLN28" s="1347"/>
      <c r="WLO28" s="1348"/>
      <c r="WLT28" s="1347"/>
      <c r="WLU28" s="1348"/>
      <c r="WLZ28" s="1347"/>
      <c r="WMA28" s="1348"/>
      <c r="WMF28" s="1347"/>
      <c r="WMG28" s="1348"/>
      <c r="WML28" s="1347"/>
      <c r="WMM28" s="1348"/>
      <c r="WMR28" s="1347"/>
      <c r="WMS28" s="1348"/>
      <c r="WMX28" s="1347"/>
      <c r="WMY28" s="1348"/>
      <c r="WND28" s="1347"/>
      <c r="WNE28" s="1348"/>
      <c r="WNJ28" s="1347"/>
      <c r="WNK28" s="1348"/>
      <c r="WNP28" s="1347"/>
      <c r="WNQ28" s="1348"/>
      <c r="WNV28" s="1347"/>
      <c r="WNW28" s="1348"/>
      <c r="WOB28" s="1347"/>
      <c r="WOC28" s="1348"/>
      <c r="WOH28" s="1347"/>
      <c r="WOI28" s="1348"/>
      <c r="WON28" s="1347"/>
      <c r="WOO28" s="1348"/>
      <c r="WOT28" s="1347"/>
      <c r="WOU28" s="1348"/>
      <c r="WOZ28" s="1347"/>
      <c r="WPA28" s="1348"/>
      <c r="WPF28" s="1347"/>
      <c r="WPG28" s="1348"/>
      <c r="WPL28" s="1347"/>
      <c r="WPM28" s="1348"/>
      <c r="WPR28" s="1347"/>
      <c r="WPS28" s="1348"/>
      <c r="WPX28" s="1347"/>
      <c r="WPY28" s="1348"/>
      <c r="WQD28" s="1347"/>
      <c r="WQE28" s="1348"/>
      <c r="WQJ28" s="1347"/>
      <c r="WQK28" s="1348"/>
      <c r="WQP28" s="1347"/>
      <c r="WQQ28" s="1348"/>
      <c r="WQV28" s="1347"/>
      <c r="WQW28" s="1348"/>
      <c r="WRB28" s="1347"/>
      <c r="WRC28" s="1348"/>
      <c r="WRH28" s="1347"/>
      <c r="WRI28" s="1348"/>
      <c r="WRN28" s="1347"/>
      <c r="WRO28" s="1348"/>
      <c r="WRT28" s="1347"/>
      <c r="WRU28" s="1348"/>
      <c r="WRZ28" s="1347"/>
      <c r="WSA28" s="1348"/>
      <c r="WSF28" s="1347"/>
      <c r="WSG28" s="1348"/>
      <c r="WSL28" s="1347"/>
      <c r="WSM28" s="1348"/>
      <c r="WSR28" s="1347"/>
      <c r="WSS28" s="1348"/>
      <c r="WSX28" s="1347"/>
      <c r="WSY28" s="1348"/>
      <c r="WTD28" s="1347"/>
      <c r="WTE28" s="1348"/>
      <c r="WTJ28" s="1347"/>
      <c r="WTK28" s="1348"/>
      <c r="WTP28" s="1347"/>
      <c r="WTQ28" s="1348"/>
      <c r="WTV28" s="1347"/>
      <c r="WTW28" s="1348"/>
      <c r="WUB28" s="1347"/>
      <c r="WUC28" s="1348"/>
      <c r="WUH28" s="1347"/>
      <c r="WUI28" s="1348"/>
      <c r="WUN28" s="1347"/>
      <c r="WUO28" s="1348"/>
      <c r="WUT28" s="1347"/>
      <c r="WUU28" s="1348"/>
      <c r="WUZ28" s="1347"/>
      <c r="WVA28" s="1348"/>
      <c r="WVF28" s="1347"/>
      <c r="WVG28" s="1348"/>
      <c r="WVL28" s="1347"/>
      <c r="WVM28" s="1348"/>
      <c r="WVR28" s="1347"/>
      <c r="WVS28" s="1348"/>
      <c r="WVX28" s="1347"/>
      <c r="WVY28" s="1348"/>
      <c r="WWD28" s="1347"/>
      <c r="WWE28" s="1348"/>
      <c r="WWJ28" s="1347"/>
      <c r="WWK28" s="1348"/>
      <c r="WWP28" s="1347"/>
      <c r="WWQ28" s="1348"/>
      <c r="WWV28" s="1347"/>
      <c r="WWW28" s="1348"/>
      <c r="WXB28" s="1347"/>
      <c r="WXC28" s="1348"/>
      <c r="WXH28" s="1347"/>
      <c r="WXI28" s="1348"/>
      <c r="WXN28" s="1347"/>
      <c r="WXO28" s="1348"/>
      <c r="WXT28" s="1347"/>
      <c r="WXU28" s="1348"/>
      <c r="WXZ28" s="1347"/>
      <c r="WYA28" s="1348"/>
      <c r="WYF28" s="1347"/>
      <c r="WYG28" s="1348"/>
      <c r="WYL28" s="1347"/>
      <c r="WYM28" s="1348"/>
      <c r="WYR28" s="1347"/>
      <c r="WYS28" s="1348"/>
      <c r="WYX28" s="1347"/>
      <c r="WYY28" s="1348"/>
      <c r="WZD28" s="1347"/>
      <c r="WZE28" s="1348"/>
      <c r="WZJ28" s="1347"/>
      <c r="WZK28" s="1348"/>
      <c r="WZP28" s="1347"/>
      <c r="WZQ28" s="1348"/>
      <c r="WZV28" s="1347"/>
      <c r="WZW28" s="1348"/>
      <c r="XAB28" s="1347"/>
      <c r="XAC28" s="1348"/>
      <c r="XAH28" s="1347"/>
      <c r="XAI28" s="1348"/>
      <c r="XAN28" s="1347"/>
      <c r="XAO28" s="1348"/>
      <c r="XAT28" s="1347"/>
      <c r="XAU28" s="1348"/>
      <c r="XAZ28" s="1347"/>
      <c r="XBA28" s="1348"/>
      <c r="XBF28" s="1347"/>
      <c r="XBG28" s="1348"/>
      <c r="XBL28" s="1347"/>
      <c r="XBM28" s="1348"/>
      <c r="XBR28" s="1347"/>
      <c r="XBS28" s="1348"/>
      <c r="XBX28" s="1347"/>
      <c r="XBY28" s="1348"/>
      <c r="XCD28" s="1347"/>
      <c r="XCE28" s="1348"/>
      <c r="XCJ28" s="1347"/>
      <c r="XCK28" s="1348"/>
      <c r="XCP28" s="1347"/>
      <c r="XCQ28" s="1348"/>
      <c r="XCV28" s="1347"/>
      <c r="XCW28" s="1348"/>
      <c r="XDB28" s="1347"/>
      <c r="XDC28" s="1348"/>
      <c r="XDH28" s="1347"/>
      <c r="XDI28" s="1348"/>
      <c r="XDN28" s="1347"/>
      <c r="XDO28" s="1348"/>
      <c r="XDT28" s="1347"/>
      <c r="XDU28" s="1348"/>
      <c r="XDZ28" s="1347"/>
      <c r="XEA28" s="1348"/>
      <c r="XEF28" s="1347"/>
      <c r="XEG28" s="1348"/>
      <c r="XEL28" s="1347"/>
      <c r="XEM28" s="1348"/>
      <c r="XER28" s="1347"/>
      <c r="XES28" s="1348"/>
      <c r="XEX28" s="1347"/>
      <c r="XEY28" s="1348"/>
    </row>
    <row r="29" spans="2:2045 2050:3071 3076:5117 5122:6143 6148:8189 8194:9215 9220:11261 11266:12287 12292:14333 14338:15359 15364:16379" s="269" customFormat="1" outlineLevel="1" x14ac:dyDescent="0.2">
      <c r="B29" s="264">
        <f t="shared" si="27"/>
        <v>20</v>
      </c>
      <c r="D29" s="300" t="str">
        <f>+[2]rapkvart!$B20</f>
        <v>Resultat före skatt</v>
      </c>
      <c r="E29" s="300"/>
      <c r="G29" s="1076">
        <f>[2]rapkvart!S20</f>
        <v>34.600000000000044</v>
      </c>
      <c r="H29" s="1076">
        <f>[2]rapkvart!T20</f>
        <v>87.000000000000099</v>
      </c>
      <c r="I29" s="1076">
        <f>[2]rapkvart!U20</f>
        <v>110.6999999999999</v>
      </c>
      <c r="J29" s="1076">
        <f>[2]rapkvart!V20</f>
        <v>132.90000000000015</v>
      </c>
      <c r="K29" s="1076">
        <f>[2]rapkvart!O20</f>
        <v>58.900000000000063</v>
      </c>
      <c r="L29" s="1076">
        <f>[2]rapkvart!P20</f>
        <v>93.499999999999915</v>
      </c>
      <c r="M29" s="1076">
        <f>[2]rapkvart!Q20</f>
        <v>120.3</v>
      </c>
      <c r="N29" s="1076">
        <f>[2]rapkvart!R20</f>
        <v>141.7000000000001</v>
      </c>
      <c r="O29" s="1076">
        <f>[2]rapkvart!K20</f>
        <v>47.199999999999982</v>
      </c>
      <c r="P29" s="1076">
        <f>[2]rapkvart!L20</f>
        <v>135.30000000000004</v>
      </c>
      <c r="Q29" s="1076">
        <f>[2]rapkvart!M20</f>
        <v>120.3</v>
      </c>
      <c r="R29" s="1076">
        <f>[2]rapkvart!N20</f>
        <v>141.7000000000001</v>
      </c>
      <c r="S29" s="1072"/>
      <c r="T29" s="1073">
        <f>[2]rapkvart!AE20</f>
        <v>34.600000000000044</v>
      </c>
      <c r="U29" s="1073">
        <f>[2]rapkvart!AF20</f>
        <v>52.400000000000048</v>
      </c>
      <c r="V29" s="1073">
        <f>[2]rapkvart!AG20</f>
        <v>23.699999999999818</v>
      </c>
      <c r="W29" s="1073">
        <f>[2]rapkvart!AH20</f>
        <v>22.200000000000227</v>
      </c>
      <c r="X29" s="1073">
        <f>[2]rapkvart!AA20</f>
        <v>58.900000000000098</v>
      </c>
      <c r="Y29" s="1073">
        <f>[2]rapkvart!AB20</f>
        <v>34.599999999999852</v>
      </c>
      <c r="Z29" s="1073">
        <f>[2]rapkvart!AC20</f>
        <v>26.800000000000093</v>
      </c>
      <c r="AA29" s="1073">
        <f>[2]rapkvart!AD20</f>
        <v>21.400000000000095</v>
      </c>
      <c r="AB29" s="1073">
        <f>[2]rapkvart!W20</f>
        <v>47.199999999999982</v>
      </c>
      <c r="AC29" s="1073">
        <f>[2]rapkvart!X20</f>
        <v>88.100000000000065</v>
      </c>
      <c r="AD29" s="1073">
        <f>[2]rapkvart!Y20</f>
        <v>-15.000000000000046</v>
      </c>
      <c r="AE29" s="1073">
        <f>[2]rapkvart!Z20</f>
        <v>21.400000000000095</v>
      </c>
      <c r="AV29" s="1187" t="str">
        <f t="shared" si="28"/>
        <v>Resultat före skatt</v>
      </c>
      <c r="AW29" s="1186"/>
      <c r="AX29" s="1235">
        <f t="shared" si="177"/>
        <v>88.100000000000065</v>
      </c>
      <c r="AY29" s="1236">
        <f t="shared" si="178"/>
        <v>34.599999999999852</v>
      </c>
      <c r="AZ29" s="1235">
        <f t="shared" si="179"/>
        <v>135.30000000000004</v>
      </c>
      <c r="BA29" s="1236">
        <f t="shared" si="180"/>
        <v>93.499999999999915</v>
      </c>
      <c r="BB29" s="1235">
        <f t="shared" si="181"/>
        <v>183.50000000000023</v>
      </c>
      <c r="BC29" s="1236">
        <f t="shared" si="182"/>
        <v>141.7000000000001</v>
      </c>
      <c r="BE29" s="1187" t="s">
        <v>311</v>
      </c>
      <c r="BF29" s="1186"/>
      <c r="BG29" s="1235">
        <f t="shared" si="183"/>
        <v>88.100000000000065</v>
      </c>
      <c r="BH29" s="1236">
        <f t="shared" si="184"/>
        <v>34.599999999999852</v>
      </c>
      <c r="BI29" s="1235">
        <f t="shared" si="185"/>
        <v>135.30000000000004</v>
      </c>
      <c r="BJ29" s="1236">
        <f t="shared" si="186"/>
        <v>93.499999999999915</v>
      </c>
      <c r="BK29" s="1235">
        <f t="shared" si="187"/>
        <v>183.50000000000023</v>
      </c>
      <c r="BL29" s="1236">
        <f t="shared" si="188"/>
        <v>141.7000000000001</v>
      </c>
      <c r="BN29" s="242"/>
      <c r="BP29" s="341" t="str">
        <f t="shared" si="119"/>
        <v>Resultat före skatt</v>
      </c>
      <c r="BQ29" s="978"/>
      <c r="BR29" s="979"/>
      <c r="BS29" s="979"/>
      <c r="BT29" s="979"/>
      <c r="BU29" s="979"/>
      <c r="BV29" s="979"/>
      <c r="BW29" s="979"/>
      <c r="BX29" s="979"/>
      <c r="BY29" s="979"/>
      <c r="BZ29" s="979"/>
      <c r="CA29" s="979"/>
      <c r="CB29" s="979"/>
      <c r="CE29" s="1288">
        <f t="shared" si="171"/>
        <v>0</v>
      </c>
      <c r="CF29" s="281">
        <f t="shared" si="36"/>
        <v>19</v>
      </c>
      <c r="CH29" s="1608"/>
      <c r="CI29" s="341" t="s">
        <v>312</v>
      </c>
      <c r="CJ29" s="1365"/>
      <c r="CK29" s="978">
        <f>CK25+CK28</f>
        <v>11.302500000000016</v>
      </c>
      <c r="CL29" s="978">
        <f t="shared" ref="CL29:CV29" si="204">CL25+CL28</f>
        <v>29.70250000000005</v>
      </c>
      <c r="CM29" s="978">
        <f t="shared" si="204"/>
        <v>0.50249999999982009</v>
      </c>
      <c r="CN29" s="978">
        <f t="shared" si="204"/>
        <v>-1.9974999999997705</v>
      </c>
      <c r="CO29" s="978">
        <f t="shared" si="204"/>
        <v>34.275000000000063</v>
      </c>
      <c r="CP29" s="978">
        <f t="shared" si="204"/>
        <v>10.874999999999797</v>
      </c>
      <c r="CQ29" s="978">
        <f t="shared" si="204"/>
        <v>2.4750000000000836</v>
      </c>
      <c r="CR29" s="978">
        <f t="shared" si="204"/>
        <v>-3.3249999999998927</v>
      </c>
      <c r="CS29" s="978">
        <f t="shared" si="204"/>
        <v>22.899357999999975</v>
      </c>
      <c r="CT29" s="978">
        <f t="shared" si="204"/>
        <v>62.872856000000112</v>
      </c>
      <c r="CU29" s="978">
        <f t="shared" si="204"/>
        <v>-15.000000000000046</v>
      </c>
      <c r="CV29" s="978">
        <f t="shared" si="204"/>
        <v>21.400000000000095</v>
      </c>
      <c r="CW29" s="1008"/>
      <c r="CX29" s="1008"/>
      <c r="CY29" s="1008"/>
      <c r="CZ29" s="1008"/>
      <c r="DA29" s="1008"/>
      <c r="DB29" s="1008"/>
      <c r="DC29" s="1008"/>
      <c r="DD29" s="1008"/>
      <c r="DE29" s="1008"/>
      <c r="DF29" s="1008"/>
      <c r="DG29" s="1008"/>
      <c r="DH29" s="1008"/>
      <c r="DI29" s="1008"/>
      <c r="DJ29" s="244"/>
      <c r="DK29" s="1640" t="str">
        <f t="shared" si="73"/>
        <v>Resultat före skatt</v>
      </c>
      <c r="DL29" s="1623">
        <f t="shared" si="38"/>
        <v>-23.297500000000028</v>
      </c>
      <c r="DM29" s="1623">
        <f t="shared" si="39"/>
        <v>-22.697499999999998</v>
      </c>
      <c r="DN29" s="1623">
        <f t="shared" si="40"/>
        <v>-23.197499999999998</v>
      </c>
      <c r="DO29" s="1623">
        <f t="shared" si="41"/>
        <v>-24.197499999999998</v>
      </c>
      <c r="DP29" s="1623">
        <f t="shared" si="42"/>
        <v>-24.625000000000036</v>
      </c>
      <c r="DQ29" s="1623">
        <f t="shared" si="43"/>
        <v>-23.725000000000055</v>
      </c>
      <c r="DR29" s="1623">
        <f t="shared" si="44"/>
        <v>-24.32500000000001</v>
      </c>
      <c r="DS29" s="1623">
        <f t="shared" si="45"/>
        <v>-24.724999999999987</v>
      </c>
      <c r="DT29" s="1623">
        <f t="shared" si="46"/>
        <v>-24.300642000000007</v>
      </c>
      <c r="DU29" s="1656">
        <f t="shared" si="47"/>
        <v>-25.227143999999953</v>
      </c>
      <c r="DV29" s="1623">
        <f t="shared" si="48"/>
        <v>0</v>
      </c>
      <c r="DW29" s="1623">
        <f t="shared" si="49"/>
        <v>0</v>
      </c>
      <c r="DX29" s="244"/>
      <c r="DY29" s="1187" t="str">
        <f t="shared" si="121"/>
        <v>Resultat före skatt</v>
      </c>
      <c r="DZ29" s="1186"/>
      <c r="EA29" s="1235">
        <f t="shared" si="122"/>
        <v>62.872856000000112</v>
      </c>
      <c r="EB29" s="1236">
        <f t="shared" si="123"/>
        <v>10.874999999999797</v>
      </c>
      <c r="EC29" s="1235">
        <f t="shared" si="124"/>
        <v>85.772214000000091</v>
      </c>
      <c r="ED29" s="1236">
        <f t="shared" si="125"/>
        <v>45.149999999999864</v>
      </c>
      <c r="EE29" s="1235">
        <f t="shared" si="126"/>
        <v>84.922214000000281</v>
      </c>
      <c r="EF29" s="1236">
        <f t="shared" si="127"/>
        <v>44.300000000000054</v>
      </c>
      <c r="EG29" s="1347"/>
      <c r="EH29" s="242"/>
      <c r="EI29" s="242"/>
      <c r="EJ29" s="1347"/>
      <c r="EK29" s="1187" t="s">
        <v>311</v>
      </c>
      <c r="EL29" s="1186"/>
      <c r="EM29" s="1235">
        <f t="shared" si="74"/>
        <v>62.872856000000112</v>
      </c>
      <c r="EN29" s="1236">
        <f t="shared" si="75"/>
        <v>10.874999999999797</v>
      </c>
      <c r="EO29" s="1235">
        <f t="shared" si="76"/>
        <v>85.772214000000091</v>
      </c>
      <c r="EP29" s="1236">
        <f t="shared" si="77"/>
        <v>45.149999999999864</v>
      </c>
      <c r="EQ29" s="1235">
        <f t="shared" si="78"/>
        <v>84.922214000000281</v>
      </c>
      <c r="ER29" s="1236">
        <f t="shared" si="79"/>
        <v>44.300000000000054</v>
      </c>
      <c r="ES29" s="1347"/>
      <c r="ET29" s="242"/>
      <c r="EU29" s="242"/>
      <c r="EV29" s="242"/>
      <c r="EW29" s="915" t="s">
        <v>304</v>
      </c>
      <c r="EX29" s="916">
        <f t="shared" ref="EX29:FC29" si="205">HJ40</f>
        <v>2464.0078124457832</v>
      </c>
      <c r="EY29" s="2033">
        <f t="shared" si="205"/>
        <v>2420.739605887039</v>
      </c>
      <c r="EZ29" s="916">
        <f t="shared" si="205"/>
        <v>2464.0078124457832</v>
      </c>
      <c r="FA29" s="2033">
        <f t="shared" si="205"/>
        <v>2420.739605887039</v>
      </c>
      <c r="FB29" s="2033">
        <f t="shared" si="205"/>
        <v>2464.0078124457832</v>
      </c>
      <c r="FC29" s="916">
        <f t="shared" si="205"/>
        <v>2361.585591886711</v>
      </c>
      <c r="FD29" s="310"/>
      <c r="FE29" s="310"/>
      <c r="FF29" s="793"/>
      <c r="FG29" s="405"/>
      <c r="FH29" s="405"/>
      <c r="FI29" s="405"/>
      <c r="FJ29" s="405"/>
      <c r="FK29" s="405"/>
      <c r="FL29" s="405"/>
      <c r="FM29" s="310"/>
      <c r="FN29" s="1577" t="str">
        <f>EW29</f>
        <v>Balansomslutning, Mkr</v>
      </c>
      <c r="FO29" s="242"/>
      <c r="FP29" s="2163">
        <f t="shared" ref="FP29:FU29" si="206">_xlfn.XLOOKUP($FN29,$EW$18:$EW$29,EX$18:EX$29,,,)</f>
        <v>2464.0078124457832</v>
      </c>
      <c r="FQ29" s="2164">
        <f t="shared" si="206"/>
        <v>2420.739605887039</v>
      </c>
      <c r="FR29" s="2163">
        <f t="shared" si="206"/>
        <v>2464.0078124457832</v>
      </c>
      <c r="FS29" s="2164">
        <f t="shared" si="206"/>
        <v>2420.739605887039</v>
      </c>
      <c r="FT29" s="2163">
        <f t="shared" si="206"/>
        <v>2464.0078124457832</v>
      </c>
      <c r="FU29" s="2164">
        <f t="shared" si="206"/>
        <v>2361.585591886711</v>
      </c>
      <c r="FV29" s="2235"/>
      <c r="FW29" s="2163">
        <f t="shared" ref="FW29:GB29" si="207">_xlfn.XLOOKUP($FN29,$EW$33:$EW$44,EX$33:EX$44,,,)</f>
        <v>1478.1999999999998</v>
      </c>
      <c r="FX29" s="2164">
        <f t="shared" si="207"/>
        <v>1473.3</v>
      </c>
      <c r="FY29" s="2163">
        <f t="shared" si="207"/>
        <v>1478.1999999999998</v>
      </c>
      <c r="FZ29" s="2164">
        <f t="shared" si="207"/>
        <v>1473.3</v>
      </c>
      <c r="GA29" s="2159">
        <f t="shared" si="207"/>
        <v>1478.1999999999998</v>
      </c>
      <c r="GB29" s="2160">
        <f t="shared" si="207"/>
        <v>1400.6</v>
      </c>
      <c r="GC29" s="310"/>
      <c r="GD29" s="1577" t="s">
        <v>305</v>
      </c>
      <c r="GE29" s="242"/>
      <c r="GF29" s="2163">
        <f t="shared" ref="GF29:GK29" si="208">FP29</f>
        <v>2464.0078124457832</v>
      </c>
      <c r="GG29" s="2164">
        <f t="shared" si="208"/>
        <v>2420.739605887039</v>
      </c>
      <c r="GH29" s="2163">
        <f t="shared" si="208"/>
        <v>2464.0078124457832</v>
      </c>
      <c r="GI29" s="2164">
        <f t="shared" si="208"/>
        <v>2420.739605887039</v>
      </c>
      <c r="GJ29" s="2163">
        <f t="shared" si="208"/>
        <v>2464.0078124457832</v>
      </c>
      <c r="GK29" s="2164">
        <f t="shared" si="208"/>
        <v>2361.585591886711</v>
      </c>
      <c r="GL29" s="2165"/>
      <c r="GM29" s="2163">
        <f t="shared" ref="GM29:GR29" si="209">FW29</f>
        <v>1478.1999999999998</v>
      </c>
      <c r="GN29" s="2164">
        <f t="shared" si="209"/>
        <v>1473.3</v>
      </c>
      <c r="GO29" s="2163">
        <f t="shared" si="209"/>
        <v>1478.1999999999998</v>
      </c>
      <c r="GP29" s="2164">
        <f t="shared" si="209"/>
        <v>1473.3</v>
      </c>
      <c r="GQ29" s="2159">
        <f t="shared" si="209"/>
        <v>1478.1999999999998</v>
      </c>
      <c r="GR29" s="2160">
        <f t="shared" si="209"/>
        <v>1400.6</v>
      </c>
      <c r="GS29" s="242"/>
      <c r="GT29" s="242"/>
      <c r="GU29" s="2266" t="s">
        <v>879</v>
      </c>
      <c r="GV29" s="242"/>
      <c r="GW29" s="1991">
        <f>CK20</f>
        <v>-46.197499999999998</v>
      </c>
      <c r="GX29" s="1991">
        <f t="shared" ref="GX29:HH29" si="210">CL20</f>
        <v>-46.197499999999998</v>
      </c>
      <c r="GY29" s="1991">
        <f t="shared" si="210"/>
        <v>-46.197499999999998</v>
      </c>
      <c r="GZ29" s="1991">
        <f t="shared" si="210"/>
        <v>-46.197499999999998</v>
      </c>
      <c r="HA29" s="1991">
        <f t="shared" si="210"/>
        <v>-46.524999999999999</v>
      </c>
      <c r="HB29" s="1991">
        <f t="shared" si="210"/>
        <v>-46.524999999999999</v>
      </c>
      <c r="HC29" s="1991">
        <f t="shared" si="210"/>
        <v>-46.524999999999999</v>
      </c>
      <c r="HD29" s="1991">
        <f t="shared" si="210"/>
        <v>-46.524999999999999</v>
      </c>
      <c r="HE29" s="1991">
        <f t="shared" si="210"/>
        <v>-46.300642000000003</v>
      </c>
      <c r="HF29" s="1991">
        <f t="shared" si="210"/>
        <v>-46.927143999999998</v>
      </c>
      <c r="HG29" s="1991">
        <f t="shared" si="210"/>
        <v>0</v>
      </c>
      <c r="HH29" s="1991">
        <f t="shared" si="210"/>
        <v>0</v>
      </c>
      <c r="HI29" s="310"/>
      <c r="HJ29" s="1203">
        <f t="shared" ref="HJ29" si="211">HF29</f>
        <v>-46.927143999999998</v>
      </c>
      <c r="HK29" s="1204">
        <f t="shared" ref="HK29" si="212">HB29</f>
        <v>-46.524999999999999</v>
      </c>
      <c r="HL29" s="1203">
        <f>SUM(HE29:HF29)</f>
        <v>-93.227786000000009</v>
      </c>
      <c r="HM29" s="1204">
        <f>SUM(HA29:HB29)</f>
        <v>-93.05</v>
      </c>
      <c r="HN29" s="1203">
        <f>SUM(HC29:HF29)</f>
        <v>-186.27778599999999</v>
      </c>
      <c r="HO29" s="2017">
        <f>SUM(HA29:HD29)</f>
        <v>-186.1</v>
      </c>
      <c r="HP29" s="2003"/>
      <c r="HQ29" s="310"/>
      <c r="HR29" s="310"/>
      <c r="HS29" s="310"/>
      <c r="HT29" s="310"/>
      <c r="HU29" s="310"/>
      <c r="HV29" s="310"/>
      <c r="HW29" s="310"/>
      <c r="HX29" s="310"/>
      <c r="HY29" s="310"/>
      <c r="HZ29" s="892"/>
      <c r="IA29" s="923" t="s">
        <v>880</v>
      </c>
      <c r="IB29" s="2066">
        <f t="shared" ref="IB29" si="213">HJ29</f>
        <v>-46.927143999999998</v>
      </c>
      <c r="IC29" s="2067">
        <f t="shared" ref="IC29" si="214">HK29</f>
        <v>-46.524999999999999</v>
      </c>
      <c r="ID29" s="1203">
        <f t="shared" ref="ID29" si="215">HL29</f>
        <v>-93.227786000000009</v>
      </c>
      <c r="IE29" s="1204">
        <f t="shared" ref="IE29" si="216">HM29</f>
        <v>-93.05</v>
      </c>
      <c r="IF29" s="1203">
        <f t="shared" ref="IF29" si="217">HN29</f>
        <v>-186.27778599999999</v>
      </c>
      <c r="IG29" s="2017">
        <f t="shared" ref="IG29" si="218">HO29</f>
        <v>-186.1</v>
      </c>
      <c r="IH29" s="1149"/>
      <c r="II29" s="1347"/>
      <c r="IJ29" s="1678">
        <f t="shared" si="173"/>
        <v>0</v>
      </c>
      <c r="IK29" s="264">
        <f t="shared" si="23"/>
        <v>19</v>
      </c>
      <c r="IL29" s="242"/>
      <c r="IM29" s="242"/>
      <c r="IN29" s="1187" t="str">
        <f t="shared" si="133"/>
        <v>Resultat före skatt</v>
      </c>
      <c r="IO29" s="1696"/>
      <c r="IP29" s="1696"/>
      <c r="IQ29" s="1696"/>
      <c r="IR29" s="242"/>
      <c r="IS29" s="242"/>
      <c r="IT29" s="1678">
        <f t="shared" si="174"/>
        <v>0</v>
      </c>
      <c r="IU29" s="264">
        <f t="shared" si="24"/>
        <v>19</v>
      </c>
      <c r="IV29" s="242"/>
      <c r="IW29" s="242"/>
      <c r="IX29" s="1187" t="s">
        <v>312</v>
      </c>
      <c r="IY29" s="1187"/>
      <c r="IZ29" s="1235">
        <f>SUM(IZ28,IZ25)</f>
        <v>88.100000000000108</v>
      </c>
      <c r="JA29" s="1696">
        <f t="shared" si="86"/>
        <v>-25.227143999999996</v>
      </c>
      <c r="JB29" s="1235">
        <f t="shared" si="134"/>
        <v>62.872856000000112</v>
      </c>
      <c r="JC29" s="242"/>
      <c r="JD29" s="242"/>
      <c r="JE29" s="242"/>
      <c r="JF29" s="1180" t="str">
        <f t="shared" si="135"/>
        <v>Resultat före skatt</v>
      </c>
      <c r="JG29" s="1770">
        <f t="shared" si="175"/>
        <v>88.100000000000108</v>
      </c>
      <c r="JH29" s="1771">
        <f>JA29</f>
        <v>-25.227143999999996</v>
      </c>
      <c r="JI29" s="1770">
        <f t="shared" si="176"/>
        <v>62.872856000000112</v>
      </c>
      <c r="JJ29" s="242"/>
      <c r="JK29" s="242"/>
      <c r="JL29" s="242"/>
      <c r="JM29" s="1187" t="s">
        <v>311</v>
      </c>
      <c r="JN29" s="1235">
        <f t="shared" si="87"/>
        <v>88.100000000000108</v>
      </c>
      <c r="JO29" s="1696">
        <f t="shared" si="148"/>
        <v>-25.227143999999996</v>
      </c>
      <c r="JP29" s="1235">
        <f t="shared" si="88"/>
        <v>62.872856000000112</v>
      </c>
      <c r="JQ29" s="242"/>
    </row>
    <row r="30" spans="2:2045 2050:3071 3076:5117 5122:6143 6148:8189 8194:9215 9220:11261 11266:12287 12292:14333 14338:15359 15364:16379" s="269" customFormat="1" ht="11.25" customHeight="1" outlineLevel="1" thickBot="1" x14ac:dyDescent="0.25">
      <c r="B30" s="264">
        <f t="shared" si="27"/>
        <v>21</v>
      </c>
      <c r="D30" s="347" t="str">
        <f>+[2]rapkvart!$B22</f>
        <v>Inkomstskatt från kvarvarande verksamhet</v>
      </c>
      <c r="E30" s="347"/>
      <c r="G30" s="1080">
        <f>[2]rapkvart!S22</f>
        <v>-7.1</v>
      </c>
      <c r="H30" s="1080">
        <f>[2]rapkvart!T22</f>
        <v>-17.899999999999999</v>
      </c>
      <c r="I30" s="1080">
        <f>[2]rapkvart!U22</f>
        <v>-22.8</v>
      </c>
      <c r="J30" s="1080">
        <f>[2]rapkvart!V22</f>
        <v>-32.799999999999997</v>
      </c>
      <c r="K30" s="1080">
        <f>[2]rapkvart!O22</f>
        <v>-12.799999999999999</v>
      </c>
      <c r="L30" s="1080">
        <f>[2]rapkvart!P22</f>
        <v>-21.8</v>
      </c>
      <c r="M30" s="1080">
        <f>[2]rapkvart!Q22</f>
        <v>-24.4</v>
      </c>
      <c r="N30" s="1080">
        <f>[2]rapkvart!R22</f>
        <v>-31.5</v>
      </c>
      <c r="O30" s="1080">
        <f>[2]rapkvart!K22</f>
        <v>-10.399999999999999</v>
      </c>
      <c r="P30" s="1080">
        <f>[2]rapkvart!L22</f>
        <v>-27.9</v>
      </c>
      <c r="Q30" s="1080">
        <f>[2]rapkvart!M22</f>
        <v>-24.4</v>
      </c>
      <c r="R30" s="1080">
        <f>[2]rapkvart!N22</f>
        <v>-31.5</v>
      </c>
      <c r="S30" s="1072"/>
      <c r="T30" s="1073">
        <f>[2]rapkvart!AE22</f>
        <v>-7.1</v>
      </c>
      <c r="U30" s="1073">
        <f>[2]rapkvart!AF22</f>
        <v>-10.799999999999999</v>
      </c>
      <c r="V30" s="1073">
        <f>[2]rapkvart!AG22</f>
        <v>-4.9000000000000021</v>
      </c>
      <c r="W30" s="1073">
        <f>[2]rapkvart!AH22</f>
        <v>-9.9999999999999964</v>
      </c>
      <c r="X30" s="1073">
        <f>[2]rapkvart!AA22</f>
        <v>-12.799999999999999</v>
      </c>
      <c r="Y30" s="1073">
        <f>[2]rapkvart!AB22</f>
        <v>-9.0000000000000018</v>
      </c>
      <c r="Z30" s="1073">
        <f>[2]rapkvart!AC22</f>
        <v>-2.5999999999999979</v>
      </c>
      <c r="AA30" s="1073">
        <f>[2]rapkvart!AD22</f>
        <v>-7.1000000000000014</v>
      </c>
      <c r="AB30" s="1073">
        <f>[2]rapkvart!W22</f>
        <v>-10.399999999999999</v>
      </c>
      <c r="AC30" s="1073">
        <f>[2]rapkvart!X22</f>
        <v>-17.5</v>
      </c>
      <c r="AD30" s="1073">
        <f>[2]rapkvart!Y22</f>
        <v>3.5</v>
      </c>
      <c r="AE30" s="1073">
        <f>[2]rapkvart!Z22</f>
        <v>-7.1000000000000014</v>
      </c>
      <c r="AV30" s="1762" t="str">
        <f t="shared" si="28"/>
        <v>Inkomstskatt från kvarvarande verksamhet</v>
      </c>
      <c r="AW30" s="1844"/>
      <c r="AX30" s="1763">
        <f t="shared" si="177"/>
        <v>-17.5</v>
      </c>
      <c r="AY30" s="1764">
        <f t="shared" si="178"/>
        <v>-9.0000000000000018</v>
      </c>
      <c r="AZ30" s="1763">
        <f t="shared" si="179"/>
        <v>-27.9</v>
      </c>
      <c r="BA30" s="1764">
        <f t="shared" si="180"/>
        <v>-21.8</v>
      </c>
      <c r="BB30" s="1763">
        <f t="shared" si="181"/>
        <v>-37.599999999999994</v>
      </c>
      <c r="BC30" s="1764">
        <f t="shared" si="182"/>
        <v>-31.5</v>
      </c>
      <c r="BE30" s="1762" t="s">
        <v>316</v>
      </c>
      <c r="BF30" s="1844"/>
      <c r="BG30" s="1763">
        <f t="shared" si="183"/>
        <v>-17.5</v>
      </c>
      <c r="BH30" s="1764">
        <f t="shared" si="184"/>
        <v>-9.0000000000000018</v>
      </c>
      <c r="BI30" s="1763">
        <f t="shared" si="185"/>
        <v>-27.9</v>
      </c>
      <c r="BJ30" s="1764">
        <f t="shared" si="186"/>
        <v>-21.8</v>
      </c>
      <c r="BK30" s="1763">
        <f t="shared" si="187"/>
        <v>-37.599999999999994</v>
      </c>
      <c r="BL30" s="1764">
        <f t="shared" si="188"/>
        <v>-31.5</v>
      </c>
      <c r="BN30" s="242"/>
      <c r="BP30" s="348" t="str">
        <f t="shared" si="119"/>
        <v>Inkomstskatt på kvarvarande verksamhet</v>
      </c>
      <c r="BQ30" s="980">
        <f t="shared" ref="BQ30:BZ30" si="219">CK30-T30</f>
        <v>4.7716849999999962</v>
      </c>
      <c r="BR30" s="980">
        <f t="shared" si="219"/>
        <v>4.6812849999999893</v>
      </c>
      <c r="BS30" s="980">
        <f t="shared" si="219"/>
        <v>4.7964850000000396</v>
      </c>
      <c r="BT30" s="980">
        <f t="shared" si="219"/>
        <v>10.411484999999949</v>
      </c>
      <c r="BU30" s="980">
        <f t="shared" si="219"/>
        <v>5.7393499999999866</v>
      </c>
      <c r="BV30" s="980">
        <f t="shared" si="219"/>
        <v>6.759750000000043</v>
      </c>
      <c r="BW30" s="980">
        <f t="shared" si="219"/>
        <v>2.0901499999999809</v>
      </c>
      <c r="BX30" s="980">
        <f t="shared" si="219"/>
        <v>7.7849499999999789</v>
      </c>
      <c r="BY30" s="980">
        <f t="shared" si="219"/>
        <v>5.6827322520000036</v>
      </c>
      <c r="BZ30" s="980">
        <f t="shared" si="219"/>
        <v>4.5481916639999778</v>
      </c>
      <c r="CA30" s="980"/>
      <c r="CB30" s="980"/>
      <c r="CE30" s="1288">
        <f t="shared" si="171"/>
        <v>1</v>
      </c>
      <c r="CF30" s="281">
        <f t="shared" si="36"/>
        <v>20</v>
      </c>
      <c r="CH30" s="1608"/>
      <c r="CI30" s="1368" t="s">
        <v>317</v>
      </c>
      <c r="CJ30" s="1369"/>
      <c r="CK30" s="1370">
        <f t="shared" ref="CK30:CV30" si="220">CK89</f>
        <v>-2.328315000000003</v>
      </c>
      <c r="CL30" s="1370">
        <f t="shared" si="220"/>
        <v>-6.1187150000000097</v>
      </c>
      <c r="CM30" s="1370">
        <f t="shared" si="220"/>
        <v>-0.10351499999996293</v>
      </c>
      <c r="CN30" s="1370">
        <f t="shared" si="220"/>
        <v>0.41148499999995269</v>
      </c>
      <c r="CO30" s="1370">
        <f t="shared" si="220"/>
        <v>-7.0606500000000123</v>
      </c>
      <c r="CP30" s="1370">
        <f t="shared" si="220"/>
        <v>-2.2402499999999583</v>
      </c>
      <c r="CQ30" s="1370">
        <f t="shared" si="220"/>
        <v>-0.50985000000001723</v>
      </c>
      <c r="CR30" s="1370">
        <f t="shared" si="220"/>
        <v>0.68494999999997785</v>
      </c>
      <c r="CS30" s="1370">
        <f>CS89</f>
        <v>-4.7172677479999949</v>
      </c>
      <c r="CT30" s="1370">
        <f t="shared" si="220"/>
        <v>-12.951808336000022</v>
      </c>
      <c r="CU30" s="1370">
        <f t="shared" si="220"/>
        <v>3.0900000000000092</v>
      </c>
      <c r="CV30" s="1370">
        <f t="shared" si="220"/>
        <v>-4.408400000000019</v>
      </c>
      <c r="CW30" s="1008"/>
      <c r="CX30" s="1008"/>
      <c r="CY30" s="1008"/>
      <c r="CZ30" s="1008"/>
      <c r="DA30" s="1008"/>
      <c r="DB30" s="1008"/>
      <c r="DC30" s="1008"/>
      <c r="DD30" s="1008"/>
      <c r="DE30" s="1008"/>
      <c r="DF30" s="1008"/>
      <c r="DG30" s="1008"/>
      <c r="DH30" s="1008"/>
      <c r="DI30" s="1008"/>
      <c r="DJ30" s="244"/>
      <c r="DK30" s="1640" t="str">
        <f t="shared" si="73"/>
        <v>Inkomstskatt på kvarvarande verksamhet</v>
      </c>
      <c r="DL30" s="1623">
        <f t="shared" si="38"/>
        <v>4.7716849999999962</v>
      </c>
      <c r="DM30" s="1623">
        <f t="shared" si="39"/>
        <v>4.6812849999999893</v>
      </c>
      <c r="DN30" s="1623">
        <f t="shared" si="40"/>
        <v>4.7964850000000396</v>
      </c>
      <c r="DO30" s="1623">
        <f t="shared" si="41"/>
        <v>10.411484999999949</v>
      </c>
      <c r="DP30" s="1623">
        <f t="shared" si="42"/>
        <v>5.7393499999999866</v>
      </c>
      <c r="DQ30" s="1623">
        <f t="shared" si="43"/>
        <v>6.759750000000043</v>
      </c>
      <c r="DR30" s="1623">
        <f t="shared" si="44"/>
        <v>2.0901499999999809</v>
      </c>
      <c r="DS30" s="1623">
        <f t="shared" si="45"/>
        <v>7.7849499999999789</v>
      </c>
      <c r="DT30" s="1623">
        <f t="shared" si="46"/>
        <v>5.6827322520000036</v>
      </c>
      <c r="DU30" s="1656">
        <f t="shared" si="47"/>
        <v>4.5481916639999778</v>
      </c>
      <c r="DV30" s="1623">
        <f t="shared" si="48"/>
        <v>-0.40999999999999082</v>
      </c>
      <c r="DW30" s="1623">
        <f t="shared" si="49"/>
        <v>2.6915999999999825</v>
      </c>
      <c r="DX30" s="244"/>
      <c r="DY30" s="1762" t="str">
        <f t="shared" si="121"/>
        <v>Inkomstskatt på kvarvarande verksamhet</v>
      </c>
      <c r="DZ30" s="1844"/>
      <c r="EA30" s="1763">
        <f t="shared" si="122"/>
        <v>-12.951808336000022</v>
      </c>
      <c r="EB30" s="1764">
        <f t="shared" si="123"/>
        <v>-2.2402499999999583</v>
      </c>
      <c r="EC30" s="1763">
        <f t="shared" si="124"/>
        <v>-17.669076084000018</v>
      </c>
      <c r="ED30" s="1764">
        <f t="shared" si="125"/>
        <v>-9.3008999999999702</v>
      </c>
      <c r="EE30" s="1763">
        <f t="shared" si="126"/>
        <v>-17.493976084000057</v>
      </c>
      <c r="EF30" s="1764">
        <f t="shared" si="127"/>
        <v>-9.1258000000000106</v>
      </c>
      <c r="EH30" s="242"/>
      <c r="EI30" s="242"/>
      <c r="EK30" s="1762" t="s">
        <v>316</v>
      </c>
      <c r="EL30" s="1844"/>
      <c r="EM30" s="1763">
        <f t="shared" si="74"/>
        <v>-12.951808336000022</v>
      </c>
      <c r="EN30" s="1764">
        <f t="shared" si="75"/>
        <v>-2.2402499999999583</v>
      </c>
      <c r="EO30" s="1763">
        <f t="shared" si="76"/>
        <v>-17.669076084000018</v>
      </c>
      <c r="EP30" s="1764">
        <f t="shared" si="77"/>
        <v>-9.3008999999999702</v>
      </c>
      <c r="EQ30" s="1763">
        <f t="shared" si="78"/>
        <v>-17.493976084000057</v>
      </c>
      <c r="ER30" s="1764">
        <f t="shared" si="79"/>
        <v>-9.1258000000000106</v>
      </c>
      <c r="ET30" s="242"/>
      <c r="EU30" s="242"/>
      <c r="EV30" s="242"/>
      <c r="EW30" s="405"/>
      <c r="EX30" s="405"/>
      <c r="EY30" s="405"/>
      <c r="EZ30" s="405"/>
      <c r="FA30" s="405"/>
      <c r="FB30" s="405"/>
      <c r="FC30" s="405"/>
      <c r="FD30" s="310"/>
      <c r="FE30" s="310"/>
      <c r="FF30" s="913" t="s">
        <v>314</v>
      </c>
      <c r="FG30" s="918" t="str">
        <f>FG$10</f>
        <v>Q2</v>
      </c>
      <c r="FH30" s="897"/>
      <c r="FI30" s="918" t="str">
        <f>FI$10</f>
        <v>Q1-Q2</v>
      </c>
      <c r="FJ30" s="897"/>
      <c r="FK30" s="898" t="str">
        <f>FK$10</f>
        <v>R12, Q1</v>
      </c>
      <c r="FL30" s="898" t="str">
        <f>FL$10</f>
        <v>Full Year</v>
      </c>
      <c r="FM30" s="310"/>
      <c r="FN30" s="2157" t="str">
        <f>EW14</f>
        <v>Nettoskuld/EBITDA, ggr</v>
      </c>
      <c r="FO30" s="242"/>
      <c r="FP30" s="2166">
        <f>EX14</f>
        <v>0.37019914651493563</v>
      </c>
      <c r="FQ30" s="2167">
        <f t="shared" ref="FQ30:FU30" si="221">EY14</f>
        <v>0.46418567426970797</v>
      </c>
      <c r="FR30" s="2166">
        <f t="shared" si="221"/>
        <v>0.37019914651493563</v>
      </c>
      <c r="FS30" s="2167">
        <f t="shared" si="221"/>
        <v>0.46418567426970797</v>
      </c>
      <c r="FT30" s="2166">
        <f t="shared" si="221"/>
        <v>0.37019914651493563</v>
      </c>
      <c r="FU30" s="2167">
        <f t="shared" si="221"/>
        <v>0.73240623683101524</v>
      </c>
      <c r="FV30" s="2235"/>
      <c r="FW30" s="2166">
        <f>EX14</f>
        <v>0.37019914651493563</v>
      </c>
      <c r="FX30" s="2167">
        <f t="shared" ref="FX30:GB30" si="222">EY14</f>
        <v>0.46418567426970797</v>
      </c>
      <c r="FY30" s="2166">
        <f t="shared" si="222"/>
        <v>0.37019914651493563</v>
      </c>
      <c r="FZ30" s="2167">
        <f t="shared" si="222"/>
        <v>0.46418567426970797</v>
      </c>
      <c r="GA30" s="2166">
        <f t="shared" si="222"/>
        <v>0.37019914651493563</v>
      </c>
      <c r="GB30" s="2167">
        <f t="shared" si="222"/>
        <v>0.73240623683101524</v>
      </c>
      <c r="GC30" s="310"/>
      <c r="GD30" s="2157" t="s">
        <v>882</v>
      </c>
      <c r="GE30" s="242"/>
      <c r="GF30" s="2166">
        <f t="shared" ref="GF30" si="223">FP30</f>
        <v>0.37019914651493563</v>
      </c>
      <c r="GG30" s="2167">
        <f t="shared" ref="GG30" si="224">FQ30</f>
        <v>0.46418567426970797</v>
      </c>
      <c r="GH30" s="2166">
        <f t="shared" ref="GH30" si="225">FR30</f>
        <v>0.37019914651493563</v>
      </c>
      <c r="GI30" s="2167">
        <f t="shared" ref="GI30" si="226">FS30</f>
        <v>0.46418567426970797</v>
      </c>
      <c r="GJ30" s="2166">
        <f t="shared" ref="GJ30" si="227">FT30</f>
        <v>0.37019914651493563</v>
      </c>
      <c r="GK30" s="2167">
        <f t="shared" ref="GK30" si="228">FU30</f>
        <v>0.73240623683101524</v>
      </c>
      <c r="GL30" s="2165"/>
      <c r="GM30" s="2166">
        <f t="shared" ref="GM30" si="229">FW30</f>
        <v>0.37019914651493563</v>
      </c>
      <c r="GN30" s="2167">
        <f t="shared" ref="GN30" si="230">FX30</f>
        <v>0.46418567426970797</v>
      </c>
      <c r="GO30" s="2166">
        <f t="shared" ref="GO30" si="231">FY30</f>
        <v>0.37019914651493563</v>
      </c>
      <c r="GP30" s="2167">
        <f t="shared" ref="GP30" si="232">FZ30</f>
        <v>0.46418567426970797</v>
      </c>
      <c r="GQ30" s="2161">
        <f t="shared" ref="GQ30" si="233">GA30</f>
        <v>0.37019914651493563</v>
      </c>
      <c r="GR30" s="2162">
        <f t="shared" ref="GR30" si="234">GB30</f>
        <v>0.73240623683101524</v>
      </c>
      <c r="GS30" s="242"/>
      <c r="GT30" s="242"/>
      <c r="GU30" s="412" t="s">
        <v>248</v>
      </c>
      <c r="GV30" s="242"/>
      <c r="GW30" s="1992"/>
      <c r="GX30" s="1992">
        <f t="shared" ref="GX30:HH30" si="235">CL$25</f>
        <v>32.20250000000005</v>
      </c>
      <c r="GY30" s="1992">
        <f t="shared" si="235"/>
        <v>10.50249999999982</v>
      </c>
      <c r="GZ30" s="1992">
        <f t="shared" si="235"/>
        <v>4.4025000000002308</v>
      </c>
      <c r="HA30" s="1992">
        <f t="shared" si="235"/>
        <v>32.875000000000064</v>
      </c>
      <c r="HB30" s="1992">
        <f t="shared" si="235"/>
        <v>16.674999999999798</v>
      </c>
      <c r="HC30" s="1992">
        <f t="shared" si="235"/>
        <v>4.7750000000000838</v>
      </c>
      <c r="HD30" s="1992">
        <f t="shared" si="235"/>
        <v>-3.1249999999998934</v>
      </c>
      <c r="HE30" s="1992">
        <f t="shared" si="235"/>
        <v>26.099357999999974</v>
      </c>
      <c r="HF30" s="1992">
        <f t="shared" si="235"/>
        <v>67.17285600000011</v>
      </c>
      <c r="HG30" s="1992">
        <f t="shared" si="235"/>
        <v>-15.800000000000045</v>
      </c>
      <c r="HH30" s="1992">
        <f t="shared" si="235"/>
        <v>21.600000000000094</v>
      </c>
      <c r="HI30" s="310"/>
      <c r="HJ30" s="1203">
        <f t="shared" ref="HJ30:HJ35" si="236">HF30</f>
        <v>67.17285600000011</v>
      </c>
      <c r="HK30" s="1204">
        <f t="shared" ref="HK30:HK35" si="237">HB30</f>
        <v>16.674999999999798</v>
      </c>
      <c r="HL30" s="1203">
        <f>SUM(HE30:HF30)</f>
        <v>93.272214000000076</v>
      </c>
      <c r="HM30" s="1204">
        <f>SUM(HA30:HB30)</f>
        <v>49.549999999999862</v>
      </c>
      <c r="HN30" s="1203">
        <f>SUM(HC30:HF30)</f>
        <v>94.922214000000281</v>
      </c>
      <c r="HO30" s="2017">
        <f>SUM(HA30:HD30)</f>
        <v>51.200000000000053</v>
      </c>
      <c r="HP30" s="1999"/>
      <c r="HQ30" s="310"/>
      <c r="HR30" s="310"/>
      <c r="HS30" s="310"/>
      <c r="HT30" s="310"/>
      <c r="HU30" s="310"/>
      <c r="HV30" s="310"/>
      <c r="HW30" s="310"/>
      <c r="HX30" s="310"/>
      <c r="HY30" s="310"/>
      <c r="HZ30" s="892"/>
      <c r="IA30" s="412" t="s">
        <v>315</v>
      </c>
      <c r="IB30" s="2066">
        <f t="shared" ref="IB30:IG35" si="238">HJ30</f>
        <v>67.17285600000011</v>
      </c>
      <c r="IC30" s="2067">
        <f t="shared" si="238"/>
        <v>16.674999999999798</v>
      </c>
      <c r="ID30" s="1203">
        <f t="shared" si="238"/>
        <v>93.272214000000076</v>
      </c>
      <c r="IE30" s="1204">
        <f t="shared" si="238"/>
        <v>49.549999999999862</v>
      </c>
      <c r="IF30" s="1203">
        <f t="shared" si="238"/>
        <v>94.922214000000281</v>
      </c>
      <c r="IG30" s="2017">
        <f t="shared" si="238"/>
        <v>51.200000000000053</v>
      </c>
      <c r="IH30" s="1219"/>
      <c r="IJ30" s="1678">
        <f t="shared" si="173"/>
        <v>0</v>
      </c>
      <c r="IK30" s="264">
        <f t="shared" si="23"/>
        <v>20</v>
      </c>
      <c r="IL30" s="242"/>
      <c r="IM30" s="242"/>
      <c r="IN30" s="1188" t="str">
        <f t="shared" si="133"/>
        <v>Inkomstskatt på kvarvarande verksamhet</v>
      </c>
      <c r="IO30" s="1238"/>
      <c r="IP30" s="1238"/>
      <c r="IQ30" s="1238"/>
      <c r="IR30" s="242"/>
      <c r="IS30" s="242"/>
      <c r="IT30" s="1678">
        <f t="shared" si="174"/>
        <v>0</v>
      </c>
      <c r="IU30" s="264">
        <f t="shared" si="24"/>
        <v>20</v>
      </c>
      <c r="IV30" s="242"/>
      <c r="IW30" s="242"/>
      <c r="IX30" s="1188" t="s">
        <v>317</v>
      </c>
      <c r="IY30" s="1188"/>
      <c r="IZ30" s="1237">
        <f>AX30</f>
        <v>-17.5</v>
      </c>
      <c r="JA30" s="1238">
        <f t="shared" si="86"/>
        <v>4.5481916639999778</v>
      </c>
      <c r="JB30" s="1237">
        <f t="shared" si="134"/>
        <v>-12.951808336000022</v>
      </c>
      <c r="JC30" s="242"/>
      <c r="JD30" s="242"/>
      <c r="JE30" s="242"/>
      <c r="JF30" s="1762" t="str">
        <f t="shared" si="135"/>
        <v>Inkomstskatt på kvarvarande verksamhet</v>
      </c>
      <c r="JG30" s="1763">
        <f t="shared" si="175"/>
        <v>-17.5</v>
      </c>
      <c r="JH30" s="1764">
        <f>JA30</f>
        <v>4.5481916639999778</v>
      </c>
      <c r="JI30" s="1763">
        <f t="shared" si="176"/>
        <v>-12.951808336000022</v>
      </c>
      <c r="JJ30" s="242"/>
      <c r="JK30" s="242"/>
      <c r="JL30" s="242"/>
      <c r="JM30" s="1781" t="s">
        <v>319</v>
      </c>
      <c r="JN30" s="1782">
        <f t="shared" si="87"/>
        <v>-17.5</v>
      </c>
      <c r="JO30" s="1783">
        <f t="shared" si="148"/>
        <v>4.5481916639999778</v>
      </c>
      <c r="JP30" s="1782">
        <f t="shared" si="88"/>
        <v>-12.951808336000022</v>
      </c>
      <c r="JQ30" s="242"/>
    </row>
    <row r="31" spans="2:2045 2050:3071 3076:5117 5122:6143 6148:8189 8194:9215 9220:11261 11266:12287 12292:14333 14338:15359 15364:16379" s="269" customFormat="1" ht="11.25" customHeight="1" outlineLevel="1" thickBot="1" x14ac:dyDescent="0.25">
      <c r="B31" s="264">
        <f t="shared" si="27"/>
        <v>22</v>
      </c>
      <c r="D31" s="300" t="s">
        <v>320</v>
      </c>
      <c r="E31" s="300"/>
      <c r="G31" s="1076">
        <f>[2]rapkvart!S23</f>
        <v>27.500000000000043</v>
      </c>
      <c r="H31" s="1076">
        <f>[2]rapkvart!T23</f>
        <v>69.100000000000108</v>
      </c>
      <c r="I31" s="1076">
        <f>[2]rapkvart!U23</f>
        <v>87.899999999999906</v>
      </c>
      <c r="J31" s="1076">
        <f>[2]rapkvart!V23</f>
        <v>100.10000000000015</v>
      </c>
      <c r="K31" s="1076">
        <f>[2]rapkvart!O23</f>
        <v>46.100000000000065</v>
      </c>
      <c r="L31" s="1076">
        <f>[2]rapkvart!P23</f>
        <v>71.699999999999918</v>
      </c>
      <c r="M31" s="1076">
        <f>[2]rapkvart!Q23</f>
        <v>95.9</v>
      </c>
      <c r="N31" s="1076">
        <f>[2]rapkvart!R23</f>
        <v>110.2000000000001</v>
      </c>
      <c r="O31" s="1076">
        <f>[2]rapkvart!K23</f>
        <v>36.799999999999983</v>
      </c>
      <c r="P31" s="1076">
        <f>[2]rapkvart!L23</f>
        <v>107.40000000000003</v>
      </c>
      <c r="Q31" s="1076">
        <f>[2]rapkvart!M23</f>
        <v>95.9</v>
      </c>
      <c r="R31" s="1076">
        <f>[2]rapkvart!N23</f>
        <v>110.2000000000001</v>
      </c>
      <c r="S31" s="1072"/>
      <c r="T31" s="1073">
        <f>[2]rapkvart!AE23</f>
        <v>0</v>
      </c>
      <c r="U31" s="1073">
        <f>[2]rapkvart!AF23</f>
        <v>0</v>
      </c>
      <c r="V31" s="1073">
        <f>[2]rapkvart!AG23</f>
        <v>0</v>
      </c>
      <c r="W31" s="1073">
        <f>[2]rapkvart!AH23</f>
        <v>0</v>
      </c>
      <c r="X31" s="1073">
        <f>[2]rapkvart!AA23</f>
        <v>46.100000000000101</v>
      </c>
      <c r="Y31" s="1073">
        <f>[2]rapkvart!AB23</f>
        <v>25.599999999999852</v>
      </c>
      <c r="Z31" s="1073">
        <f>[2]rapkvart!AC23</f>
        <v>24.200000000000095</v>
      </c>
      <c r="AA31" s="1073">
        <f>[2]rapkvart!AD23</f>
        <v>14.300000000000093</v>
      </c>
      <c r="AB31" s="1073">
        <f>[2]rapkvart!W23</f>
        <v>36.799999999999983</v>
      </c>
      <c r="AC31" s="1073">
        <f>[2]rapkvart!X23</f>
        <v>70.600000000000065</v>
      </c>
      <c r="AD31" s="1073">
        <f>[2]rapkvart!Y23</f>
        <v>-11.500000000000046</v>
      </c>
      <c r="AE31" s="1073">
        <f>[2]rapkvart!Z23</f>
        <v>14.300000000000093</v>
      </c>
      <c r="AV31" s="1180" t="str">
        <f t="shared" si="28"/>
        <v>Periodens resultat från kvarvarande verksamhet (efter skatt)</v>
      </c>
      <c r="AW31" s="1181"/>
      <c r="AX31" s="1230">
        <f t="shared" si="177"/>
        <v>70.600000000000065</v>
      </c>
      <c r="AY31" s="1231">
        <f t="shared" si="178"/>
        <v>25.599999999999852</v>
      </c>
      <c r="AZ31" s="1230">
        <f t="shared" si="179"/>
        <v>107.40000000000003</v>
      </c>
      <c r="BA31" s="1231">
        <f t="shared" si="180"/>
        <v>71.699999999999918</v>
      </c>
      <c r="BB31" s="1230">
        <f t="shared" si="181"/>
        <v>145.90000000000023</v>
      </c>
      <c r="BC31" s="1231">
        <f t="shared" si="182"/>
        <v>110.2000000000001</v>
      </c>
      <c r="BE31" s="1180" t="s">
        <v>321</v>
      </c>
      <c r="BF31" s="1181"/>
      <c r="BG31" s="1230">
        <f t="shared" si="183"/>
        <v>70.600000000000065</v>
      </c>
      <c r="BH31" s="1231">
        <f t="shared" si="184"/>
        <v>25.599999999999852</v>
      </c>
      <c r="BI31" s="1230">
        <f t="shared" si="185"/>
        <v>107.40000000000003</v>
      </c>
      <c r="BJ31" s="1231">
        <f t="shared" si="186"/>
        <v>71.699999999999918</v>
      </c>
      <c r="BK31" s="1230">
        <f t="shared" si="187"/>
        <v>145.90000000000023</v>
      </c>
      <c r="BL31" s="1231">
        <f t="shared" si="188"/>
        <v>110.2000000000001</v>
      </c>
      <c r="BN31" s="242"/>
      <c r="BP31" s="341" t="str">
        <f t="shared" si="119"/>
        <v>Periodens resultat från kvarvarande verksamhet (efter skatt)</v>
      </c>
      <c r="BQ31" s="978"/>
      <c r="BR31" s="979"/>
      <c r="BS31" s="979"/>
      <c r="BT31" s="979"/>
      <c r="BU31" s="979"/>
      <c r="BV31" s="979"/>
      <c r="BW31" s="979"/>
      <c r="BX31" s="979"/>
      <c r="BY31" s="979"/>
      <c r="BZ31" s="979"/>
      <c r="CA31" s="979"/>
      <c r="CB31" s="979"/>
      <c r="CE31" s="1288">
        <f t="shared" si="171"/>
        <v>0</v>
      </c>
      <c r="CF31" s="281">
        <f t="shared" si="36"/>
        <v>21</v>
      </c>
      <c r="CH31" s="1608"/>
      <c r="CI31" s="341" t="s">
        <v>320</v>
      </c>
      <c r="CJ31" s="1365"/>
      <c r="CK31" s="978">
        <f>SUM(CK29:CK30)</f>
        <v>8.9741850000000127</v>
      </c>
      <c r="CL31" s="978">
        <f t="shared" ref="CL31:CV31" si="239">SUM(CL29:CL30)</f>
        <v>23.583785000000042</v>
      </c>
      <c r="CM31" s="978">
        <f t="shared" si="239"/>
        <v>0.39898499999985715</v>
      </c>
      <c r="CN31" s="978">
        <f t="shared" si="239"/>
        <v>-1.5860149999998177</v>
      </c>
      <c r="CO31" s="978">
        <f t="shared" si="239"/>
        <v>27.214350000000049</v>
      </c>
      <c r="CP31" s="978">
        <f t="shared" si="239"/>
        <v>8.6347499999998387</v>
      </c>
      <c r="CQ31" s="978">
        <f t="shared" si="239"/>
        <v>1.9651500000000663</v>
      </c>
      <c r="CR31" s="978">
        <f t="shared" si="239"/>
        <v>-2.6400499999999147</v>
      </c>
      <c r="CS31" s="978">
        <f t="shared" si="239"/>
        <v>18.182090251999981</v>
      </c>
      <c r="CT31" s="978">
        <f t="shared" si="239"/>
        <v>49.921047664000092</v>
      </c>
      <c r="CU31" s="978">
        <f t="shared" si="239"/>
        <v>-11.910000000000037</v>
      </c>
      <c r="CV31" s="978">
        <f t="shared" si="239"/>
        <v>16.991600000000076</v>
      </c>
      <c r="CW31" s="1008"/>
      <c r="CX31" s="1008"/>
      <c r="CY31" s="1008"/>
      <c r="CZ31" s="1008"/>
      <c r="DA31" s="1008"/>
      <c r="DB31" s="1008"/>
      <c r="DC31" s="1008"/>
      <c r="DD31" s="1008"/>
      <c r="DE31" s="1008"/>
      <c r="DF31" s="1008"/>
      <c r="DG31" s="1008"/>
      <c r="DH31" s="1008"/>
      <c r="DI31" s="1008"/>
      <c r="DJ31" s="244"/>
      <c r="DK31" s="1641" t="str">
        <f t="shared" si="73"/>
        <v>Periodens resultat från kvarvarande verksamhet (efter skatt)</v>
      </c>
      <c r="DL31" s="1624">
        <f t="shared" si="38"/>
        <v>8.9741850000000127</v>
      </c>
      <c r="DM31" s="1624">
        <f t="shared" si="39"/>
        <v>23.583785000000042</v>
      </c>
      <c r="DN31" s="1624">
        <f t="shared" si="40"/>
        <v>0.39898499999985715</v>
      </c>
      <c r="DO31" s="1624">
        <f t="shared" si="41"/>
        <v>-1.5860149999998177</v>
      </c>
      <c r="DP31" s="1624">
        <f t="shared" si="42"/>
        <v>-18.885650000000052</v>
      </c>
      <c r="DQ31" s="1624">
        <f t="shared" si="43"/>
        <v>-16.965250000000012</v>
      </c>
      <c r="DR31" s="1624">
        <f t="shared" si="44"/>
        <v>-22.23485000000003</v>
      </c>
      <c r="DS31" s="1624">
        <f t="shared" si="45"/>
        <v>-16.940050000000006</v>
      </c>
      <c r="DT31" s="1624">
        <f t="shared" si="46"/>
        <v>-18.617909748000002</v>
      </c>
      <c r="DU31" s="1657">
        <f t="shared" si="47"/>
        <v>-20.678952335999973</v>
      </c>
      <c r="DV31" s="1624">
        <f t="shared" si="48"/>
        <v>-0.40999999999999126</v>
      </c>
      <c r="DW31" s="1624">
        <f t="shared" si="49"/>
        <v>2.6915999999999833</v>
      </c>
      <c r="DX31" s="244"/>
      <c r="DY31" s="1180" t="str">
        <f t="shared" si="121"/>
        <v>Periodens resultat från kvarvarande verksamhet (efter skatt)</v>
      </c>
      <c r="DZ31" s="1181"/>
      <c r="EA31" s="1230">
        <f t="shared" si="122"/>
        <v>49.921047664000092</v>
      </c>
      <c r="EB31" s="1231">
        <f t="shared" si="123"/>
        <v>8.6347499999998387</v>
      </c>
      <c r="EC31" s="1230">
        <f t="shared" si="124"/>
        <v>68.103137916000065</v>
      </c>
      <c r="ED31" s="1231">
        <f t="shared" si="125"/>
        <v>35.849099999999886</v>
      </c>
      <c r="EE31" s="1230">
        <f t="shared" si="126"/>
        <v>67.428237916000228</v>
      </c>
      <c r="EF31" s="1231">
        <f t="shared" si="127"/>
        <v>35.174200000000035</v>
      </c>
      <c r="EH31" s="242"/>
      <c r="EI31" s="242"/>
      <c r="EK31" s="1180" t="s">
        <v>321</v>
      </c>
      <c r="EL31" s="1181"/>
      <c r="EM31" s="1230">
        <f t="shared" si="74"/>
        <v>49.921047664000092</v>
      </c>
      <c r="EN31" s="1231">
        <f t="shared" si="75"/>
        <v>8.6347499999998387</v>
      </c>
      <c r="EO31" s="1230">
        <f t="shared" si="76"/>
        <v>68.103137916000065</v>
      </c>
      <c r="EP31" s="1231">
        <f t="shared" si="77"/>
        <v>35.849099999999886</v>
      </c>
      <c r="EQ31" s="1230">
        <f t="shared" si="78"/>
        <v>67.428237916000228</v>
      </c>
      <c r="ER31" s="1231">
        <f t="shared" si="79"/>
        <v>35.174200000000035</v>
      </c>
      <c r="ET31" s="242"/>
      <c r="EU31" s="2034">
        <f t="shared" ref="EU31:EU36" si="240">IF(EW34=EW19,0,1)</f>
        <v>0</v>
      </c>
      <c r="EV31" s="242"/>
      <c r="EW31" s="913" t="s">
        <v>313</v>
      </c>
      <c r="EX31" s="918" t="str">
        <f>EX$10</f>
        <v>Kvartal 2</v>
      </c>
      <c r="EY31" s="897"/>
      <c r="EZ31" s="918" t="str">
        <f>EZ$10</f>
        <v>Kvartal 1-2</v>
      </c>
      <c r="FA31" s="897"/>
      <c r="FB31" s="898" t="str">
        <f>FB$10</f>
        <v>Kvartal 2, R12</v>
      </c>
      <c r="FC31" s="898" t="str">
        <f>FC$10</f>
        <v>Helår</v>
      </c>
      <c r="FD31" s="310"/>
      <c r="FE31" s="310"/>
      <c r="FF31" s="899"/>
      <c r="FG31" s="900">
        <f>FG$11</f>
        <v>2026</v>
      </c>
      <c r="FH31" s="900">
        <f t="shared" ref="FH31:FL31" si="241">FH$11</f>
        <v>2025</v>
      </c>
      <c r="FI31" s="900">
        <f>FI$11</f>
        <v>2026</v>
      </c>
      <c r="FJ31" s="900">
        <f t="shared" ref="FJ31" si="242">FJ$11</f>
        <v>2025</v>
      </c>
      <c r="FK31" s="900">
        <f t="shared" si="241"/>
        <v>2026</v>
      </c>
      <c r="FL31" s="900">
        <f t="shared" si="241"/>
        <v>2025</v>
      </c>
      <c r="FM31" s="310"/>
      <c r="GS31" s="242"/>
      <c r="GT31" s="242"/>
      <c r="GU31" s="412" t="s">
        <v>252</v>
      </c>
      <c r="GV31" s="242"/>
      <c r="GW31" s="1992"/>
      <c r="GX31" s="1992">
        <f t="shared" ref="GX31:HH31" si="243">CL$35</f>
        <v>23.583785000000042</v>
      </c>
      <c r="GY31" s="1992">
        <f t="shared" si="243"/>
        <v>0.39898499999985715</v>
      </c>
      <c r="GZ31" s="1992">
        <f t="shared" si="243"/>
        <v>-1.5860149999998177</v>
      </c>
      <c r="HA31" s="1992">
        <f t="shared" si="243"/>
        <v>24.460350000000048</v>
      </c>
      <c r="HB31" s="1992">
        <f t="shared" si="243"/>
        <v>1.1017499999998392</v>
      </c>
      <c r="HC31" s="1992">
        <f t="shared" si="243"/>
        <v>-4.4338499999999357</v>
      </c>
      <c r="HD31" s="1992">
        <f t="shared" si="243"/>
        <v>-18.354049999999912</v>
      </c>
      <c r="HE31" s="1992">
        <f t="shared" si="243"/>
        <v>15.34709025199998</v>
      </c>
      <c r="HF31" s="1992">
        <f t="shared" si="243"/>
        <v>49.273047664000089</v>
      </c>
      <c r="HG31" s="1992">
        <f t="shared" si="243"/>
        <v>-25.113000000000039</v>
      </c>
      <c r="HH31" s="1992">
        <f t="shared" si="243"/>
        <v>1.2776000000000778</v>
      </c>
      <c r="HJ31" s="1203">
        <f t="shared" si="236"/>
        <v>49.273047664000089</v>
      </c>
      <c r="HK31" s="1204">
        <f t="shared" si="237"/>
        <v>1.1017499999998392</v>
      </c>
      <c r="HL31" s="1203">
        <f>SUM(HE31:HF31)</f>
        <v>64.620137916000061</v>
      </c>
      <c r="HM31" s="1204">
        <f>SUM(HA31:HB31)</f>
        <v>25.562099999999887</v>
      </c>
      <c r="HN31" s="1203">
        <f>SUM(HC31:HF31)</f>
        <v>41.832237916000224</v>
      </c>
      <c r="HO31" s="2017">
        <f>SUM(HA31:HD31)</f>
        <v>2.7742000000000395</v>
      </c>
      <c r="HP31" s="1999"/>
      <c r="HQ31" s="310"/>
      <c r="HR31" s="310"/>
      <c r="HS31" s="310"/>
      <c r="HT31" s="310"/>
      <c r="HU31" s="310"/>
      <c r="HV31" s="310"/>
      <c r="HW31" s="310"/>
      <c r="HX31" s="310"/>
      <c r="HY31" s="310"/>
      <c r="HZ31" s="892"/>
      <c r="IA31" s="412" t="s">
        <v>916</v>
      </c>
      <c r="IB31" s="2066">
        <f t="shared" si="238"/>
        <v>49.273047664000089</v>
      </c>
      <c r="IC31" s="2067">
        <f t="shared" si="238"/>
        <v>1.1017499999998392</v>
      </c>
      <c r="ID31" s="1203">
        <f t="shared" si="238"/>
        <v>64.620137916000061</v>
      </c>
      <c r="IE31" s="1204">
        <f t="shared" si="238"/>
        <v>25.562099999999887</v>
      </c>
      <c r="IF31" s="1203">
        <f t="shared" si="238"/>
        <v>41.832237916000224</v>
      </c>
      <c r="IG31" s="2017">
        <f t="shared" si="238"/>
        <v>2.7742000000000395</v>
      </c>
      <c r="IH31" s="1219"/>
      <c r="IJ31" s="1678">
        <f t="shared" si="173"/>
        <v>0</v>
      </c>
      <c r="IK31" s="264">
        <f t="shared" si="23"/>
        <v>21</v>
      </c>
      <c r="IL31" s="242"/>
      <c r="IM31" s="242"/>
      <c r="IN31" s="1180" t="str">
        <f t="shared" si="133"/>
        <v>Periodens resultat från kvarvarande verksamhet (efter skatt)</v>
      </c>
      <c r="IO31" s="1700"/>
      <c r="IP31" s="1700"/>
      <c r="IQ31" s="1700"/>
      <c r="IR31" s="242"/>
      <c r="IS31" s="242"/>
      <c r="IT31" s="1678">
        <f t="shared" si="174"/>
        <v>0</v>
      </c>
      <c r="IU31" s="264">
        <f t="shared" si="24"/>
        <v>21</v>
      </c>
      <c r="IV31" s="242"/>
      <c r="IW31" s="242"/>
      <c r="IX31" s="1180" t="s">
        <v>320</v>
      </c>
      <c r="IY31" s="1180"/>
      <c r="IZ31" s="1230">
        <f>SUM(IZ29:IZ30)</f>
        <v>70.600000000000108</v>
      </c>
      <c r="JA31" s="1700">
        <f t="shared" si="86"/>
        <v>-20.678952336000016</v>
      </c>
      <c r="JB31" s="1230">
        <f t="shared" si="134"/>
        <v>49.921047664000092</v>
      </c>
      <c r="JC31" s="242"/>
      <c r="JD31" s="242"/>
      <c r="JE31" s="242"/>
      <c r="JF31" s="1180" t="str">
        <f t="shared" si="135"/>
        <v>Periodens resultat från kvarvarande verksamhet (efter skatt)</v>
      </c>
      <c r="JG31" s="1230">
        <f t="shared" si="175"/>
        <v>70.600000000000108</v>
      </c>
      <c r="JH31" s="1700">
        <f>JA31</f>
        <v>-20.678952336000016</v>
      </c>
      <c r="JI31" s="1230">
        <f t="shared" si="176"/>
        <v>49.921047664000092</v>
      </c>
      <c r="JJ31" s="242"/>
      <c r="JK31" s="242"/>
      <c r="JL31" s="242"/>
      <c r="JM31" s="1180" t="s">
        <v>321</v>
      </c>
      <c r="JN31" s="1230">
        <f t="shared" si="87"/>
        <v>70.600000000000108</v>
      </c>
      <c r="JO31" s="1700">
        <f t="shared" si="148"/>
        <v>-20.678952336000016</v>
      </c>
      <c r="JP31" s="1230">
        <f t="shared" si="88"/>
        <v>49.921047664000092</v>
      </c>
      <c r="JQ31" s="242"/>
      <c r="JS31" s="352"/>
    </row>
    <row r="32" spans="2:2045 2050:3071 3076:5117 5122:6143 6148:8189 8194:9215 9220:11261 11266:12287 12292:14333 14338:15359 15364:16379" s="269" customFormat="1" outlineLevel="1" x14ac:dyDescent="0.2">
      <c r="B32" s="264">
        <f t="shared" si="27"/>
        <v>23</v>
      </c>
      <c r="D32" s="288" t="str">
        <f>+[2]rapkvart!$B24</f>
        <v>Periodens resultat från avvecklad verksamhet före skatt</v>
      </c>
      <c r="E32" s="288"/>
      <c r="G32" s="1081">
        <f>[2]rapkvart!S24</f>
        <v>0</v>
      </c>
      <c r="H32" s="1081">
        <f>[2]rapkvart!T24</f>
        <v>0</v>
      </c>
      <c r="I32" s="1081">
        <f>[2]rapkvart!U24</f>
        <v>0</v>
      </c>
      <c r="J32" s="1081">
        <f>[2]rapkvart!V24</f>
        <v>0</v>
      </c>
      <c r="K32" s="1081">
        <f>[2]rapkvart!O24</f>
        <v>-3.4</v>
      </c>
      <c r="L32" s="1081">
        <f>[2]rapkvart!P24</f>
        <v>-12.7</v>
      </c>
      <c r="M32" s="1081">
        <f>[2]rapkvart!Q24</f>
        <v>-20.6</v>
      </c>
      <c r="N32" s="1081">
        <f>[2]rapkvart!R24</f>
        <v>-40</v>
      </c>
      <c r="O32" s="1081">
        <f>[2]rapkvart!K24</f>
        <v>-3.5</v>
      </c>
      <c r="P32" s="1081">
        <f>[2]rapkvart!L24</f>
        <v>-4.3</v>
      </c>
      <c r="Q32" s="1081">
        <f>[2]rapkvart!M24</f>
        <v>-20.6</v>
      </c>
      <c r="R32" s="1081">
        <f>[2]rapkvart!N24</f>
        <v>-40</v>
      </c>
      <c r="S32" s="1072"/>
      <c r="T32" s="1073">
        <f>[2]rapkvart!AE24</f>
        <v>0</v>
      </c>
      <c r="U32" s="1073">
        <f>[2]rapkvart!AF24</f>
        <v>0</v>
      </c>
      <c r="V32" s="1073">
        <f>[2]rapkvart!AG24</f>
        <v>0</v>
      </c>
      <c r="W32" s="1073">
        <f>[2]rapkvart!AH24</f>
        <v>0</v>
      </c>
      <c r="X32" s="1073">
        <f>[2]rapkvart!AA24</f>
        <v>-3.4</v>
      </c>
      <c r="Y32" s="1073">
        <f>[2]rapkvart!AB24</f>
        <v>-9.2999999999999989</v>
      </c>
      <c r="Z32" s="1073">
        <f>[2]rapkvart!AC24</f>
        <v>-7.9000000000000021</v>
      </c>
      <c r="AA32" s="1073">
        <f>[2]rapkvart!AD24</f>
        <v>-19.399999999999999</v>
      </c>
      <c r="AB32" s="1073">
        <f>[2]rapkvart!W24</f>
        <v>-3.5</v>
      </c>
      <c r="AC32" s="1073">
        <f>[2]rapkvart!X24</f>
        <v>-0.79999999999999982</v>
      </c>
      <c r="AD32" s="1073">
        <f>[2]rapkvart!Y24</f>
        <v>-16.3</v>
      </c>
      <c r="AE32" s="1073">
        <f>[2]rapkvart!Z24</f>
        <v>-19.399999999999999</v>
      </c>
      <c r="AV32" s="1183" t="str">
        <f t="shared" si="28"/>
        <v>Periodens resultat från avvecklad verksamhet före skatt</v>
      </c>
      <c r="AW32" s="1182"/>
      <c r="AX32" s="1232">
        <f>$AC32</f>
        <v>-0.79999999999999982</v>
      </c>
      <c r="AY32" s="1233">
        <f t="shared" si="178"/>
        <v>-9.2999999999999989</v>
      </c>
      <c r="AZ32" s="1232">
        <f t="shared" si="179"/>
        <v>-4.3</v>
      </c>
      <c r="BA32" s="1233">
        <f t="shared" si="180"/>
        <v>-12.7</v>
      </c>
      <c r="BB32" s="1232">
        <f t="shared" si="181"/>
        <v>-31.6</v>
      </c>
      <c r="BC32" s="1233">
        <f t="shared" si="182"/>
        <v>-40</v>
      </c>
      <c r="BE32" s="1183" t="s">
        <v>323</v>
      </c>
      <c r="BF32" s="1182"/>
      <c r="BG32" s="1232">
        <f t="shared" si="183"/>
        <v>-0.79999999999999982</v>
      </c>
      <c r="BH32" s="1233">
        <f t="shared" si="184"/>
        <v>-9.2999999999999989</v>
      </c>
      <c r="BI32" s="1232">
        <f t="shared" si="185"/>
        <v>-4.3</v>
      </c>
      <c r="BJ32" s="1233">
        <f t="shared" si="186"/>
        <v>-12.7</v>
      </c>
      <c r="BK32" s="1232">
        <f t="shared" si="187"/>
        <v>-31.6</v>
      </c>
      <c r="BL32" s="1233">
        <f t="shared" si="188"/>
        <v>-40</v>
      </c>
      <c r="BN32" s="242"/>
      <c r="BP32" s="320" t="str">
        <f t="shared" si="119"/>
        <v>Periodens resultat från avvecklad verksamhet</v>
      </c>
      <c r="BQ32" s="981"/>
      <c r="BR32" s="982"/>
      <c r="BS32" s="982"/>
      <c r="BT32" s="982"/>
      <c r="BU32" s="982"/>
      <c r="BV32" s="982"/>
      <c r="BW32" s="982"/>
      <c r="BX32" s="982"/>
      <c r="BY32" s="982"/>
      <c r="BZ32" s="982"/>
      <c r="CA32" s="982"/>
      <c r="CB32" s="982"/>
      <c r="CE32" s="1288">
        <f t="shared" si="171"/>
        <v>1</v>
      </c>
      <c r="CF32" s="281">
        <f t="shared" si="36"/>
        <v>22</v>
      </c>
      <c r="CH32" s="1608"/>
      <c r="CI32" s="1021" t="s">
        <v>324</v>
      </c>
      <c r="CJ32" s="1022"/>
      <c r="CK32" s="1030">
        <f t="shared" ref="CK32:CV32" si="244">T32+BQ32</f>
        <v>0</v>
      </c>
      <c r="CL32" s="1030">
        <f t="shared" si="244"/>
        <v>0</v>
      </c>
      <c r="CM32" s="1030">
        <f t="shared" si="244"/>
        <v>0</v>
      </c>
      <c r="CN32" s="1030">
        <f t="shared" si="244"/>
        <v>0</v>
      </c>
      <c r="CO32" s="1030">
        <f t="shared" si="244"/>
        <v>-3.4</v>
      </c>
      <c r="CP32" s="1030">
        <f t="shared" si="244"/>
        <v>-9.2999999999999989</v>
      </c>
      <c r="CQ32" s="1030">
        <f t="shared" si="244"/>
        <v>-7.9000000000000021</v>
      </c>
      <c r="CR32" s="1030">
        <f t="shared" si="244"/>
        <v>-19.399999999999999</v>
      </c>
      <c r="CS32" s="1030">
        <f t="shared" si="244"/>
        <v>-3.5</v>
      </c>
      <c r="CT32" s="1030">
        <f t="shared" si="244"/>
        <v>-0.79999999999999982</v>
      </c>
      <c r="CU32" s="1030">
        <f t="shared" si="244"/>
        <v>-16.3</v>
      </c>
      <c r="CV32" s="1030">
        <f t="shared" si="244"/>
        <v>-19.399999999999999</v>
      </c>
      <c r="CW32" s="1008"/>
      <c r="CX32" s="1008"/>
      <c r="CY32" s="1008"/>
      <c r="CZ32" s="1008"/>
      <c r="DA32" s="1008"/>
      <c r="DB32" s="1008"/>
      <c r="DC32" s="1008"/>
      <c r="DD32" s="1008"/>
      <c r="DE32" s="1008"/>
      <c r="DF32" s="1008"/>
      <c r="DG32" s="1008"/>
      <c r="DH32" s="1008"/>
      <c r="DI32" s="1008"/>
      <c r="DJ32" s="244"/>
      <c r="DK32" s="1640" t="str">
        <f t="shared" si="73"/>
        <v>Periodens resultat från avvecklad verksamhet</v>
      </c>
      <c r="DL32" s="1623">
        <f t="shared" si="38"/>
        <v>0</v>
      </c>
      <c r="DM32" s="1623">
        <f t="shared" si="39"/>
        <v>0</v>
      </c>
      <c r="DN32" s="1623">
        <f t="shared" si="40"/>
        <v>0</v>
      </c>
      <c r="DO32" s="1623">
        <f t="shared" si="41"/>
        <v>0</v>
      </c>
      <c r="DP32" s="1623">
        <f t="shared" si="42"/>
        <v>0</v>
      </c>
      <c r="DQ32" s="1623">
        <f t="shared" si="43"/>
        <v>0</v>
      </c>
      <c r="DR32" s="1623">
        <f t="shared" si="44"/>
        <v>0</v>
      </c>
      <c r="DS32" s="1623">
        <f t="shared" si="45"/>
        <v>0</v>
      </c>
      <c r="DT32" s="1623">
        <f t="shared" si="46"/>
        <v>0</v>
      </c>
      <c r="DU32" s="1623">
        <f t="shared" si="47"/>
        <v>0</v>
      </c>
      <c r="DV32" s="1623">
        <f t="shared" si="48"/>
        <v>0</v>
      </c>
      <c r="DW32" s="1623">
        <f t="shared" si="49"/>
        <v>0</v>
      </c>
      <c r="DX32" s="244"/>
      <c r="DY32" s="1183" t="str">
        <f t="shared" si="121"/>
        <v>Periodens resultat från avvecklad verksamhet</v>
      </c>
      <c r="DZ32" s="1182"/>
      <c r="EA32" s="1232">
        <f t="shared" si="122"/>
        <v>-0.79999999999999982</v>
      </c>
      <c r="EB32" s="1233">
        <f t="shared" si="123"/>
        <v>-9.2999999999999989</v>
      </c>
      <c r="EC32" s="1232">
        <f t="shared" si="124"/>
        <v>-4.3</v>
      </c>
      <c r="ED32" s="1233">
        <f t="shared" si="125"/>
        <v>-12.7</v>
      </c>
      <c r="EE32" s="1232">
        <f t="shared" si="126"/>
        <v>-31.6</v>
      </c>
      <c r="EF32" s="1233">
        <f t="shared" si="127"/>
        <v>-40</v>
      </c>
      <c r="EH32" s="242"/>
      <c r="EI32" s="242"/>
      <c r="EK32" s="1183" t="s">
        <v>323</v>
      </c>
      <c r="EL32" s="1182"/>
      <c r="EM32" s="1232">
        <f t="shared" si="74"/>
        <v>-0.79999999999999982</v>
      </c>
      <c r="EN32" s="1233">
        <f t="shared" si="75"/>
        <v>-9.2999999999999989</v>
      </c>
      <c r="EO32" s="1232">
        <f t="shared" si="76"/>
        <v>-4.3</v>
      </c>
      <c r="EP32" s="1233">
        <f t="shared" si="77"/>
        <v>-12.7</v>
      </c>
      <c r="EQ32" s="1232">
        <f t="shared" si="78"/>
        <v>-31.6</v>
      </c>
      <c r="ER32" s="1233">
        <f t="shared" si="79"/>
        <v>-40</v>
      </c>
      <c r="ET32" s="242"/>
      <c r="EU32" s="2034">
        <f t="shared" si="240"/>
        <v>0</v>
      </c>
      <c r="EV32" s="242"/>
      <c r="EW32" s="899"/>
      <c r="EX32" s="900">
        <f>EX$11</f>
        <v>2026</v>
      </c>
      <c r="EY32" s="900">
        <f t="shared" ref="EY32:FC32" si="245">EY$11</f>
        <v>2025</v>
      </c>
      <c r="EZ32" s="900">
        <f>EZ$11</f>
        <v>2026</v>
      </c>
      <c r="FA32" s="900">
        <f t="shared" ref="FA32" si="246">FA$11</f>
        <v>2025</v>
      </c>
      <c r="FB32" s="900">
        <f t="shared" si="245"/>
        <v>2026</v>
      </c>
      <c r="FC32" s="900">
        <f t="shared" si="245"/>
        <v>2025</v>
      </c>
      <c r="FD32" s="310"/>
      <c r="FE32" s="310"/>
      <c r="FF32" s="901" t="str">
        <f t="shared" ref="FF32:FF38" si="247">FF17</f>
        <v>Depreciations, MSEK</v>
      </c>
      <c r="FG32" s="908">
        <f t="shared" ref="FG32:FL38" si="248">EX33</f>
        <v>21.699999999999996</v>
      </c>
      <c r="FH32" s="909">
        <f t="shared" si="248"/>
        <v>22.8</v>
      </c>
      <c r="FI32" s="908">
        <f t="shared" si="248"/>
        <v>43.7</v>
      </c>
      <c r="FJ32" s="909">
        <f t="shared" si="248"/>
        <v>44.7</v>
      </c>
      <c r="FK32" s="2032">
        <f t="shared" si="248"/>
        <v>87.699999999999989</v>
      </c>
      <c r="FL32" s="908">
        <f t="shared" si="248"/>
        <v>88.7</v>
      </c>
      <c r="FM32" s="310"/>
      <c r="FN32" s="2154" t="s">
        <v>181</v>
      </c>
      <c r="FO32" s="310"/>
      <c r="FP32" s="2154">
        <f t="shared" ref="FP32:GB32" si="249">SUM(FP14:FP15)-FP16</f>
        <v>0</v>
      </c>
      <c r="FQ32" s="2154">
        <f t="shared" si="249"/>
        <v>4.9737991503207013E-14</v>
      </c>
      <c r="FR32" s="2154">
        <f t="shared" si="249"/>
        <v>0</v>
      </c>
      <c r="FS32" s="2154">
        <f t="shared" si="249"/>
        <v>7.815970093361102E-14</v>
      </c>
      <c r="FT32" s="2154">
        <f t="shared" si="249"/>
        <v>0</v>
      </c>
      <c r="FU32" s="2154">
        <f t="shared" si="249"/>
        <v>7.815970093361102E-14</v>
      </c>
      <c r="FV32" s="2154">
        <f t="shared" si="249"/>
        <v>0</v>
      </c>
      <c r="FW32" s="2154">
        <f t="shared" si="249"/>
        <v>0</v>
      </c>
      <c r="FX32" s="2154">
        <f t="shared" si="249"/>
        <v>0</v>
      </c>
      <c r="FY32" s="2154">
        <f t="shared" si="249"/>
        <v>0</v>
      </c>
      <c r="FZ32" s="2154">
        <f t="shared" si="249"/>
        <v>0</v>
      </c>
      <c r="GA32" s="2154">
        <f t="shared" si="249"/>
        <v>0</v>
      </c>
      <c r="GB32" s="2154">
        <f t="shared" si="249"/>
        <v>0</v>
      </c>
      <c r="GC32" s="310"/>
      <c r="GD32" s="2154" t="s">
        <v>181</v>
      </c>
      <c r="GE32" s="310"/>
      <c r="GF32" s="2154">
        <f t="shared" ref="GF32:GR32" si="250">SUM(GF14:GF15)-GF16</f>
        <v>0</v>
      </c>
      <c r="GG32" s="2154">
        <f t="shared" si="250"/>
        <v>4.9737991503207013E-14</v>
      </c>
      <c r="GH32" s="2154">
        <f t="shared" si="250"/>
        <v>0</v>
      </c>
      <c r="GI32" s="2154">
        <f t="shared" si="250"/>
        <v>7.815970093361102E-14</v>
      </c>
      <c r="GJ32" s="2154">
        <f t="shared" si="250"/>
        <v>0</v>
      </c>
      <c r="GK32" s="2154">
        <f t="shared" si="250"/>
        <v>7.815970093361102E-14</v>
      </c>
      <c r="GL32" s="2154">
        <f t="shared" si="250"/>
        <v>0</v>
      </c>
      <c r="GM32" s="2154">
        <f t="shared" si="250"/>
        <v>0</v>
      </c>
      <c r="GN32" s="2154">
        <f t="shared" si="250"/>
        <v>0</v>
      </c>
      <c r="GO32" s="2154">
        <f t="shared" si="250"/>
        <v>0</v>
      </c>
      <c r="GP32" s="2154">
        <f t="shared" si="250"/>
        <v>0</v>
      </c>
      <c r="GQ32" s="2154">
        <f t="shared" si="250"/>
        <v>0</v>
      </c>
      <c r="GR32" s="2154">
        <f t="shared" si="250"/>
        <v>0</v>
      </c>
      <c r="GS32" s="310"/>
      <c r="GT32" s="890"/>
      <c r="GU32" s="412" t="s">
        <v>27</v>
      </c>
      <c r="GV32" s="242"/>
      <c r="GW32" s="1992">
        <f t="shared" ref="GW32:HH32" si="251">CK$31</f>
        <v>8.9741850000000127</v>
      </c>
      <c r="GX32" s="1992">
        <f t="shared" si="251"/>
        <v>23.583785000000042</v>
      </c>
      <c r="GY32" s="1992">
        <f t="shared" si="251"/>
        <v>0.39898499999985715</v>
      </c>
      <c r="GZ32" s="1992">
        <f t="shared" si="251"/>
        <v>-1.5860149999998177</v>
      </c>
      <c r="HA32" s="1992">
        <f t="shared" si="251"/>
        <v>27.214350000000049</v>
      </c>
      <c r="HB32" s="1992">
        <f t="shared" si="251"/>
        <v>8.6347499999998387</v>
      </c>
      <c r="HC32" s="1992">
        <f t="shared" si="251"/>
        <v>1.9651500000000663</v>
      </c>
      <c r="HD32" s="1992">
        <f t="shared" si="251"/>
        <v>-2.6400499999999147</v>
      </c>
      <c r="HE32" s="1992">
        <f t="shared" si="251"/>
        <v>18.182090251999981</v>
      </c>
      <c r="HF32" s="1992">
        <f t="shared" si="251"/>
        <v>49.921047664000092</v>
      </c>
      <c r="HG32" s="1992">
        <f t="shared" si="251"/>
        <v>-11.910000000000037</v>
      </c>
      <c r="HH32" s="1992">
        <f t="shared" si="251"/>
        <v>16.991600000000076</v>
      </c>
      <c r="HJ32" s="1203">
        <f t="shared" si="236"/>
        <v>49.921047664000092</v>
      </c>
      <c r="HK32" s="1204">
        <f t="shared" si="237"/>
        <v>8.6347499999998387</v>
      </c>
      <c r="HL32" s="1203">
        <f>SUM(HE32:HF32)</f>
        <v>68.103137916000065</v>
      </c>
      <c r="HM32" s="1204">
        <f>SUM(HA32:HB32)</f>
        <v>35.849099999999886</v>
      </c>
      <c r="HN32" s="1203">
        <f>SUM(HC32:HF32)</f>
        <v>67.428237916000228</v>
      </c>
      <c r="HO32" s="2017">
        <f>SUM(HA32:HD32)</f>
        <v>35.174200000000035</v>
      </c>
      <c r="HP32" s="1999"/>
      <c r="HQ32" s="310"/>
      <c r="HR32" s="310"/>
      <c r="HS32" s="310"/>
      <c r="HT32" s="310"/>
      <c r="HU32" s="310"/>
      <c r="HV32" s="310"/>
      <c r="HW32" s="310"/>
      <c r="HX32" s="310"/>
      <c r="HY32" s="310"/>
      <c r="HZ32" s="892"/>
      <c r="IA32" s="412" t="s">
        <v>912</v>
      </c>
      <c r="IB32" s="2066">
        <f t="shared" si="238"/>
        <v>49.921047664000092</v>
      </c>
      <c r="IC32" s="2067">
        <f t="shared" si="238"/>
        <v>8.6347499999998387</v>
      </c>
      <c r="ID32" s="1203">
        <f t="shared" si="238"/>
        <v>68.103137916000065</v>
      </c>
      <c r="IE32" s="1204">
        <f t="shared" si="238"/>
        <v>35.849099999999886</v>
      </c>
      <c r="IF32" s="1203">
        <f t="shared" si="238"/>
        <v>67.428237916000228</v>
      </c>
      <c r="IG32" s="2017">
        <f t="shared" si="238"/>
        <v>35.174200000000035</v>
      </c>
      <c r="IH32" s="1219"/>
      <c r="IJ32" s="1678">
        <f t="shared" si="173"/>
        <v>0</v>
      </c>
      <c r="IK32" s="264">
        <f t="shared" si="23"/>
        <v>22</v>
      </c>
      <c r="IL32" s="242"/>
      <c r="IM32" s="242"/>
      <c r="IN32" s="1183" t="str">
        <f t="shared" si="133"/>
        <v>Periodens resultat från avvecklad verksamhet</v>
      </c>
      <c r="IO32" s="1242"/>
      <c r="IP32" s="1242"/>
      <c r="IQ32" s="1242"/>
      <c r="IR32" s="242"/>
      <c r="IS32" s="242"/>
      <c r="IT32" s="1678">
        <f t="shared" si="174"/>
        <v>0</v>
      </c>
      <c r="IU32" s="264">
        <f t="shared" si="24"/>
        <v>22</v>
      </c>
      <c r="IV32" s="242"/>
      <c r="IW32" s="242"/>
      <c r="IX32" s="1183" t="s">
        <v>324</v>
      </c>
      <c r="IY32" s="1183"/>
      <c r="IZ32" s="1232">
        <f>AX32</f>
        <v>-0.79999999999999982</v>
      </c>
      <c r="JA32" s="1242">
        <f t="shared" si="86"/>
        <v>0</v>
      </c>
      <c r="JB32" s="1232">
        <f t="shared" si="134"/>
        <v>-0.79999999999999982</v>
      </c>
      <c r="JC32" s="242"/>
      <c r="JD32" s="242"/>
      <c r="JE32" s="242"/>
      <c r="JF32" s="1183" t="str">
        <f t="shared" si="135"/>
        <v>Periodens resultat från avvecklad verksamhet</v>
      </c>
      <c r="JG32" s="1232">
        <f t="shared" si="175"/>
        <v>-0.79999999999999982</v>
      </c>
      <c r="JH32" s="1242"/>
      <c r="JI32" s="1232">
        <f t="shared" si="176"/>
        <v>-0.79999999999999982</v>
      </c>
      <c r="JJ32" s="242"/>
      <c r="JK32" s="242"/>
      <c r="JL32" s="242"/>
      <c r="JM32" s="1183" t="s">
        <v>327</v>
      </c>
      <c r="JN32" s="1232">
        <f t="shared" si="87"/>
        <v>-0.79999999999999982</v>
      </c>
      <c r="JO32" s="1242"/>
      <c r="JP32" s="1232">
        <f t="shared" si="88"/>
        <v>-0.79999999999999982</v>
      </c>
      <c r="JQ32" s="242"/>
    </row>
    <row r="33" spans="2:277" s="269" customFormat="1" ht="11.25" customHeight="1" outlineLevel="1" thickBot="1" x14ac:dyDescent="0.25">
      <c r="B33" s="264">
        <f t="shared" si="27"/>
        <v>24</v>
      </c>
      <c r="D33" s="288" t="str">
        <f>+[2]rapkvart!$B25</f>
        <v>Inkomstskatt avvecklad verksamhet</v>
      </c>
      <c r="E33" s="288"/>
      <c r="G33" s="1081">
        <f>[2]rapkvart!S25</f>
        <v>0</v>
      </c>
      <c r="H33" s="1081">
        <f>[2]rapkvart!T25</f>
        <v>0</v>
      </c>
      <c r="I33" s="1081">
        <f>[2]rapkvart!U25</f>
        <v>0</v>
      </c>
      <c r="J33" s="1081">
        <f>[2]rapkvart!V25</f>
        <v>0</v>
      </c>
      <c r="K33" s="1081">
        <f>[2]rapkvart!O25</f>
        <v>0.7</v>
      </c>
      <c r="L33" s="1081">
        <f>[2]rapkvart!P25</f>
        <v>2.5</v>
      </c>
      <c r="M33" s="1081">
        <f>[2]rapkvart!Q25</f>
        <v>3.9</v>
      </c>
      <c r="N33" s="1081">
        <f>[2]rapkvart!R25</f>
        <v>7.9</v>
      </c>
      <c r="O33" s="1081">
        <f>[2]rapkvart!K25</f>
        <v>0.7</v>
      </c>
      <c r="P33" s="1081">
        <f>[2]rapkvart!L25</f>
        <v>0.9</v>
      </c>
      <c r="Q33" s="1081">
        <f>[2]rapkvart!M25</f>
        <v>3.9</v>
      </c>
      <c r="R33" s="1081">
        <f>[2]rapkvart!N25</f>
        <v>7.9</v>
      </c>
      <c r="S33" s="1072"/>
      <c r="T33" s="1073">
        <f>[2]rapkvart!AE25</f>
        <v>0</v>
      </c>
      <c r="U33" s="1073">
        <f>[2]rapkvart!AF25</f>
        <v>0</v>
      </c>
      <c r="V33" s="1073">
        <f>[2]rapkvart!AG25</f>
        <v>0</v>
      </c>
      <c r="W33" s="1073">
        <f>[2]rapkvart!AH25</f>
        <v>0</v>
      </c>
      <c r="X33" s="1073">
        <f>[2]rapkvart!AA25</f>
        <v>0.7</v>
      </c>
      <c r="Y33" s="1073">
        <f>[2]rapkvart!AB25</f>
        <v>1.8</v>
      </c>
      <c r="Z33" s="1073">
        <f>[2]rapkvart!AC25</f>
        <v>1.4</v>
      </c>
      <c r="AA33" s="1073">
        <f>[2]rapkvart!AD25</f>
        <v>4</v>
      </c>
      <c r="AB33" s="1073">
        <f>[2]rapkvart!W25</f>
        <v>0.7</v>
      </c>
      <c r="AC33" s="1073">
        <f>[2]rapkvart!X25</f>
        <v>0.20000000000000007</v>
      </c>
      <c r="AD33" s="1073">
        <f>[2]rapkvart!Y25</f>
        <v>3</v>
      </c>
      <c r="AE33" s="1073">
        <f>[2]rapkvart!Z25</f>
        <v>4</v>
      </c>
      <c r="AV33" s="1190" t="str">
        <f t="shared" si="28"/>
        <v>Inkomstskatt avvecklad verksamhet</v>
      </c>
      <c r="AW33" s="1191"/>
      <c r="AX33" s="1239">
        <f t="shared" si="177"/>
        <v>0.20000000000000007</v>
      </c>
      <c r="AY33" s="1240">
        <f t="shared" si="178"/>
        <v>1.8</v>
      </c>
      <c r="AZ33" s="1239">
        <f t="shared" si="179"/>
        <v>0.9</v>
      </c>
      <c r="BA33" s="1240">
        <f t="shared" si="180"/>
        <v>2.5</v>
      </c>
      <c r="BB33" s="1239">
        <f t="shared" si="181"/>
        <v>6.3000000000000007</v>
      </c>
      <c r="BC33" s="1240">
        <f t="shared" si="182"/>
        <v>7.9</v>
      </c>
      <c r="BE33" s="1190" t="s">
        <v>328</v>
      </c>
      <c r="BF33" s="1191"/>
      <c r="BG33" s="1239">
        <f t="shared" si="183"/>
        <v>0.20000000000000007</v>
      </c>
      <c r="BH33" s="1240">
        <f t="shared" si="184"/>
        <v>1.8</v>
      </c>
      <c r="BI33" s="1239">
        <f t="shared" si="185"/>
        <v>0.9</v>
      </c>
      <c r="BJ33" s="1240">
        <f t="shared" si="186"/>
        <v>2.5</v>
      </c>
      <c r="BK33" s="1239">
        <f t="shared" si="187"/>
        <v>6.3000000000000007</v>
      </c>
      <c r="BL33" s="1240">
        <f t="shared" si="188"/>
        <v>7.9</v>
      </c>
      <c r="BN33" s="242"/>
      <c r="BP33" s="348" t="str">
        <f t="shared" si="119"/>
        <v>Skatt på avvecklad verksamhet</v>
      </c>
      <c r="BQ33" s="980">
        <f t="shared" ref="BQ33:BZ33" si="252">CK33-T33</f>
        <v>0</v>
      </c>
      <c r="BR33" s="980">
        <f t="shared" si="252"/>
        <v>0</v>
      </c>
      <c r="BS33" s="980">
        <f t="shared" si="252"/>
        <v>0</v>
      </c>
      <c r="BT33" s="980">
        <f t="shared" si="252"/>
        <v>0</v>
      </c>
      <c r="BU33" s="980">
        <f t="shared" si="252"/>
        <v>-5.3999999999999937E-2</v>
      </c>
      <c r="BV33" s="980">
        <f t="shared" si="252"/>
        <v>-3.300000000000014E-2</v>
      </c>
      <c r="BW33" s="980">
        <f t="shared" si="252"/>
        <v>0.10100000000000042</v>
      </c>
      <c r="BX33" s="980">
        <f t="shared" si="252"/>
        <v>-0.31400000000000006</v>
      </c>
      <c r="BY33" s="980">
        <f t="shared" si="252"/>
        <v>-3.499999999999992E-2</v>
      </c>
      <c r="BZ33" s="980">
        <f t="shared" si="252"/>
        <v>-4.8000000000000098E-2</v>
      </c>
      <c r="CA33" s="980"/>
      <c r="CB33" s="980"/>
      <c r="CE33" s="1288">
        <f t="shared" si="171"/>
        <v>1</v>
      </c>
      <c r="CF33" s="281">
        <f t="shared" si="36"/>
        <v>23</v>
      </c>
      <c r="CH33" s="1608"/>
      <c r="CI33" s="1366" t="s">
        <v>67</v>
      </c>
      <c r="CJ33" s="1367"/>
      <c r="CK33" s="1073">
        <f t="shared" ref="CK33:CV33" si="253">CK90</f>
        <v>0</v>
      </c>
      <c r="CL33" s="1073">
        <f t="shared" si="253"/>
        <v>0</v>
      </c>
      <c r="CM33" s="1073">
        <f t="shared" si="253"/>
        <v>0</v>
      </c>
      <c r="CN33" s="1073">
        <f t="shared" si="253"/>
        <v>0</v>
      </c>
      <c r="CO33" s="1073">
        <f t="shared" si="253"/>
        <v>0.64600000000000002</v>
      </c>
      <c r="CP33" s="1073">
        <f t="shared" si="253"/>
        <v>1.7669999999999999</v>
      </c>
      <c r="CQ33" s="1073">
        <f t="shared" si="253"/>
        <v>1.5010000000000003</v>
      </c>
      <c r="CR33" s="1073">
        <f t="shared" si="253"/>
        <v>3.6859999999999999</v>
      </c>
      <c r="CS33" s="1073">
        <f t="shared" si="253"/>
        <v>0.66500000000000004</v>
      </c>
      <c r="CT33" s="1073">
        <f t="shared" si="253"/>
        <v>0.15199999999999997</v>
      </c>
      <c r="CU33" s="1073">
        <f t="shared" si="253"/>
        <v>3.097</v>
      </c>
      <c r="CV33" s="1073">
        <f t="shared" si="253"/>
        <v>3.6859999999999999</v>
      </c>
      <c r="CW33" s="1008"/>
      <c r="CX33" s="1008"/>
      <c r="CY33" s="1008"/>
      <c r="CZ33" s="1008"/>
      <c r="DA33" s="1008"/>
      <c r="DB33" s="1008"/>
      <c r="DC33" s="1008"/>
      <c r="DD33" s="1008"/>
      <c r="DE33" s="1008"/>
      <c r="DF33" s="1008"/>
      <c r="DG33" s="1008"/>
      <c r="DH33" s="1008"/>
      <c r="DI33" s="1008"/>
      <c r="DJ33" s="244"/>
      <c r="DK33" s="1632" t="str">
        <f t="shared" si="73"/>
        <v>Skatt på avvecklad verksamhet</v>
      </c>
      <c r="DL33" s="1615">
        <f t="shared" si="38"/>
        <v>0</v>
      </c>
      <c r="DM33" s="1615">
        <f t="shared" si="39"/>
        <v>0</v>
      </c>
      <c r="DN33" s="1615">
        <f t="shared" si="40"/>
        <v>0</v>
      </c>
      <c r="DO33" s="1615">
        <f t="shared" si="41"/>
        <v>0</v>
      </c>
      <c r="DP33" s="1615">
        <f t="shared" si="42"/>
        <v>-5.3999999999999937E-2</v>
      </c>
      <c r="DQ33" s="1615">
        <f t="shared" si="43"/>
        <v>-3.300000000000014E-2</v>
      </c>
      <c r="DR33" s="1615">
        <f t="shared" si="44"/>
        <v>0.10100000000000042</v>
      </c>
      <c r="DS33" s="1615">
        <f t="shared" si="45"/>
        <v>-0.31400000000000006</v>
      </c>
      <c r="DT33" s="1615">
        <f t="shared" si="46"/>
        <v>-3.499999999999992E-2</v>
      </c>
      <c r="DU33" s="1648">
        <f t="shared" si="47"/>
        <v>-4.8000000000000098E-2</v>
      </c>
      <c r="DV33" s="1615">
        <f t="shared" si="48"/>
        <v>9.6999999999999975E-2</v>
      </c>
      <c r="DW33" s="1615">
        <f t="shared" si="49"/>
        <v>-0.31400000000000006</v>
      </c>
      <c r="DX33" s="244"/>
      <c r="DY33" s="1190" t="str">
        <f t="shared" si="121"/>
        <v>Skatt på avvecklad verksamhet</v>
      </c>
      <c r="DZ33" s="1191"/>
      <c r="EA33" s="1239">
        <f t="shared" si="122"/>
        <v>0.15199999999999997</v>
      </c>
      <c r="EB33" s="1240">
        <f t="shared" si="123"/>
        <v>1.7669999999999999</v>
      </c>
      <c r="EC33" s="1239">
        <f t="shared" si="124"/>
        <v>0.81699999999999995</v>
      </c>
      <c r="ED33" s="1240">
        <f t="shared" si="125"/>
        <v>2.4129999999999998</v>
      </c>
      <c r="EE33" s="1239">
        <f t="shared" si="126"/>
        <v>6.0040000000000004</v>
      </c>
      <c r="EF33" s="1240">
        <f t="shared" si="127"/>
        <v>7.6</v>
      </c>
      <c r="EH33" s="242"/>
      <c r="EI33" s="242"/>
      <c r="EK33" s="1190" t="s">
        <v>328</v>
      </c>
      <c r="EL33" s="1191"/>
      <c r="EM33" s="1239">
        <f t="shared" si="74"/>
        <v>0.15199999999999997</v>
      </c>
      <c r="EN33" s="1240">
        <f t="shared" si="75"/>
        <v>1.7669999999999999</v>
      </c>
      <c r="EO33" s="1239">
        <f t="shared" si="76"/>
        <v>0.81699999999999995</v>
      </c>
      <c r="EP33" s="1240">
        <f t="shared" si="77"/>
        <v>2.4129999999999998</v>
      </c>
      <c r="EQ33" s="1239">
        <f t="shared" si="78"/>
        <v>6.0040000000000004</v>
      </c>
      <c r="ER33" s="1240">
        <f t="shared" si="79"/>
        <v>7.6</v>
      </c>
      <c r="ET33" s="242"/>
      <c r="EU33" s="2034">
        <f t="shared" si="240"/>
        <v>0</v>
      </c>
      <c r="EV33" s="242"/>
      <c r="EW33" s="2155" t="str">
        <f t="shared" ref="EW33:EW39" si="254">EW18</f>
        <v>Avskrivningar, Mkr</v>
      </c>
      <c r="EX33" s="908">
        <f>SUM(AC86)</f>
        <v>21.699999999999996</v>
      </c>
      <c r="EY33" s="909">
        <f>SUM(Y86)</f>
        <v>22.8</v>
      </c>
      <c r="EZ33" s="908">
        <f>SUM(AB86:AC86)</f>
        <v>43.7</v>
      </c>
      <c r="FA33" s="909">
        <f>SUM(X86:Y86)</f>
        <v>44.7</v>
      </c>
      <c r="FB33" s="2032">
        <f>SUM(Z86:AC86)</f>
        <v>87.699999999999989</v>
      </c>
      <c r="FC33" s="908">
        <f>SUM(X86:AA86)</f>
        <v>88.7</v>
      </c>
      <c r="FD33" s="310"/>
      <c r="FE33" s="310"/>
      <c r="FF33" s="901" t="str">
        <f t="shared" si="247"/>
        <v>Income after financial items, MSEK</v>
      </c>
      <c r="FG33" s="908">
        <f t="shared" si="248"/>
        <v>92.400000000000063</v>
      </c>
      <c r="FH33" s="909">
        <f t="shared" si="248"/>
        <v>40.399999999999849</v>
      </c>
      <c r="FI33" s="908">
        <f t="shared" si="248"/>
        <v>142.80000000000004</v>
      </c>
      <c r="FJ33" s="909">
        <f t="shared" si="248"/>
        <v>97.899999999999949</v>
      </c>
      <c r="FK33" s="2032">
        <f t="shared" si="248"/>
        <v>193.50000000000023</v>
      </c>
      <c r="FL33" s="908">
        <f t="shared" si="248"/>
        <v>148.60000000000014</v>
      </c>
      <c r="FM33" s="310"/>
      <c r="FN33" s="310"/>
      <c r="FO33" s="310"/>
      <c r="FP33" s="310"/>
      <c r="FQ33" s="310"/>
      <c r="FR33" s="310"/>
      <c r="FS33" s="242"/>
      <c r="FT33" s="242"/>
      <c r="FU33" s="242"/>
      <c r="FV33" s="242"/>
      <c r="FW33" s="242"/>
      <c r="FX33" s="242"/>
      <c r="FY33" s="242"/>
      <c r="FZ33" s="242"/>
      <c r="GA33" s="242"/>
      <c r="GB33" s="242"/>
      <c r="GC33" s="310"/>
      <c r="GD33" s="310"/>
      <c r="GE33" s="310"/>
      <c r="GF33" s="310"/>
      <c r="GG33" s="310"/>
      <c r="GH33" s="310"/>
      <c r="GI33" s="310"/>
      <c r="GJ33" s="310"/>
      <c r="GK33" s="310"/>
      <c r="GL33" s="310"/>
      <c r="GM33" s="310"/>
      <c r="GN33" s="310"/>
      <c r="GO33" s="310"/>
      <c r="GP33" s="310"/>
      <c r="GQ33" s="310"/>
      <c r="GR33" s="310"/>
      <c r="GS33" s="310"/>
      <c r="GT33" s="890"/>
      <c r="GU33" s="412" t="s">
        <v>325</v>
      </c>
      <c r="GV33" s="242"/>
      <c r="GW33" s="1993">
        <f>GW30/GW$12</f>
        <v>0</v>
      </c>
      <c r="GX33" s="1993">
        <f t="shared" ref="GX33:HH33" si="255">GX30/GX$12</f>
        <v>5.3271298593879322E-2</v>
      </c>
      <c r="GY33" s="1993">
        <f t="shared" si="255"/>
        <v>2.0731346229766724E-2</v>
      </c>
      <c r="GZ33" s="1993">
        <f t="shared" si="255"/>
        <v>7.5970664365836568E-3</v>
      </c>
      <c r="HA33" s="1993">
        <f t="shared" si="255"/>
        <v>5.1399312070043876E-2</v>
      </c>
      <c r="HB33" s="1993">
        <f t="shared" si="255"/>
        <v>2.4813988095237799E-2</v>
      </c>
      <c r="HC33" s="1993">
        <f t="shared" si="255"/>
        <v>9.5922057051026164E-3</v>
      </c>
      <c r="HD33" s="1993">
        <f t="shared" si="255"/>
        <v>-6.0049961568022538E-3</v>
      </c>
      <c r="HE33" s="1993">
        <f t="shared" si="255"/>
        <v>4.2813907480314918E-2</v>
      </c>
      <c r="HF33" s="1993">
        <f>HF30/HF$12</f>
        <v>9.8105529428947152E-2</v>
      </c>
      <c r="HG33" s="1993">
        <f t="shared" si="255"/>
        <v>-3.0673655600854284E-2</v>
      </c>
      <c r="HH33" s="1993">
        <f t="shared" si="255"/>
        <v>4.1506533435818775E-2</v>
      </c>
      <c r="HJ33" s="926">
        <f t="shared" ref="HJ33:HO33" si="256">HJ30/HJ12</f>
        <v>9.8105529428947152E-2</v>
      </c>
      <c r="HK33" s="2068">
        <f t="shared" si="256"/>
        <v>2.4813988095237799E-2</v>
      </c>
      <c r="HL33" s="2065">
        <f t="shared" si="256"/>
        <v>7.2063829096809154E-2</v>
      </c>
      <c r="HM33" s="2068">
        <f t="shared" si="256"/>
        <v>3.7778286062823928E-2</v>
      </c>
      <c r="HN33" s="2065">
        <f t="shared" si="256"/>
        <v>4.1047443891892015E-2</v>
      </c>
      <c r="HO33" s="2069">
        <f t="shared" si="256"/>
        <v>2.1976135290582902E-2</v>
      </c>
      <c r="HP33" s="1999"/>
      <c r="HQ33" s="310"/>
      <c r="HR33" s="310"/>
      <c r="HS33" s="310"/>
      <c r="HT33" s="310"/>
      <c r="HU33" s="310"/>
      <c r="HV33" s="310"/>
      <c r="HW33" s="310"/>
      <c r="HX33" s="310"/>
      <c r="HY33" s="310"/>
      <c r="HZ33" s="892"/>
      <c r="IA33" s="412" t="s">
        <v>326</v>
      </c>
      <c r="IB33" s="926">
        <f t="shared" si="238"/>
        <v>9.8105529428947152E-2</v>
      </c>
      <c r="IC33" s="2068">
        <f t="shared" si="238"/>
        <v>2.4813988095237799E-2</v>
      </c>
      <c r="ID33" s="2065">
        <f t="shared" si="238"/>
        <v>7.2063829096809154E-2</v>
      </c>
      <c r="IE33" s="2068">
        <f t="shared" si="238"/>
        <v>3.7778286062823928E-2</v>
      </c>
      <c r="IF33" s="2065">
        <f t="shared" si="238"/>
        <v>4.1047443891892015E-2</v>
      </c>
      <c r="IG33" s="2069">
        <f t="shared" si="238"/>
        <v>2.1976135290582902E-2</v>
      </c>
      <c r="IH33" s="1220"/>
      <c r="IJ33" s="1678">
        <f t="shared" si="173"/>
        <v>0</v>
      </c>
      <c r="IK33" s="264">
        <f t="shared" si="23"/>
        <v>23</v>
      </c>
      <c r="IL33" s="242"/>
      <c r="IM33" s="242"/>
      <c r="IN33" s="1190" t="str">
        <f t="shared" si="133"/>
        <v>Skatt på avvecklad verksamhet</v>
      </c>
      <c r="IO33" s="1699"/>
      <c r="IP33" s="1699"/>
      <c r="IQ33" s="1699"/>
      <c r="IR33" s="242"/>
      <c r="IS33" s="242"/>
      <c r="IT33" s="1678">
        <f t="shared" si="174"/>
        <v>0</v>
      </c>
      <c r="IU33" s="264">
        <f t="shared" si="24"/>
        <v>23</v>
      </c>
      <c r="IV33" s="242"/>
      <c r="IW33" s="242"/>
      <c r="IX33" s="1723" t="s">
        <v>67</v>
      </c>
      <c r="IY33" s="1190"/>
      <c r="IZ33" s="1239">
        <f>AX33</f>
        <v>0.20000000000000007</v>
      </c>
      <c r="JA33" s="1699">
        <f t="shared" si="86"/>
        <v>-4.8000000000000098E-2</v>
      </c>
      <c r="JB33" s="1239">
        <f t="shared" si="134"/>
        <v>0.15199999999999997</v>
      </c>
      <c r="JC33" s="242"/>
      <c r="JD33" s="242"/>
      <c r="JE33" s="242"/>
      <c r="JF33" s="1190" t="str">
        <f t="shared" si="135"/>
        <v>Skatt på avvecklad verksamhet</v>
      </c>
      <c r="JG33" s="1239">
        <f t="shared" si="175"/>
        <v>0.20000000000000007</v>
      </c>
      <c r="JH33" s="1699"/>
      <c r="JI33" s="1239">
        <f t="shared" si="176"/>
        <v>0.15199999999999997</v>
      </c>
      <c r="JJ33" s="242"/>
      <c r="JK33" s="242"/>
      <c r="JL33" s="242"/>
      <c r="JM33" s="1190" t="s">
        <v>328</v>
      </c>
      <c r="JN33" s="1239">
        <f t="shared" si="87"/>
        <v>0.20000000000000007</v>
      </c>
      <c r="JO33" s="1699"/>
      <c r="JP33" s="1239">
        <f t="shared" si="88"/>
        <v>0.15199999999999997</v>
      </c>
      <c r="JQ33" s="242"/>
    </row>
    <row r="34" spans="2:277" s="269" customFormat="1" ht="11.25" customHeight="1" outlineLevel="1" thickBot="1" x14ac:dyDescent="0.25">
      <c r="B34" s="264">
        <f t="shared" si="27"/>
        <v>25</v>
      </c>
      <c r="D34" s="355" t="s">
        <v>330</v>
      </c>
      <c r="E34" s="355"/>
      <c r="G34" s="1082">
        <f>[2]rapkvart!S26</f>
        <v>0</v>
      </c>
      <c r="H34" s="1082">
        <f>[2]rapkvart!T26</f>
        <v>0</v>
      </c>
      <c r="I34" s="1082">
        <f>[2]rapkvart!U26</f>
        <v>0</v>
      </c>
      <c r="J34" s="1082">
        <f>[2]rapkvart!V26</f>
        <v>0</v>
      </c>
      <c r="K34" s="1082">
        <f>[2]rapkvart!O26</f>
        <v>-2.7</v>
      </c>
      <c r="L34" s="1082">
        <f>[2]rapkvart!P26</f>
        <v>-10.199999999999999</v>
      </c>
      <c r="M34" s="1082">
        <f>[2]rapkvart!Q26</f>
        <v>-16.700000000000003</v>
      </c>
      <c r="N34" s="1082">
        <f>[2]rapkvart!R26</f>
        <v>-32.1</v>
      </c>
      <c r="O34" s="1082">
        <f>[2]rapkvart!K26</f>
        <v>-2.8</v>
      </c>
      <c r="P34" s="1082">
        <f>[2]rapkvart!L26</f>
        <v>-3.4</v>
      </c>
      <c r="Q34" s="1082">
        <f>[2]rapkvart!M26</f>
        <v>-16.700000000000003</v>
      </c>
      <c r="R34" s="1082">
        <f>[2]rapkvart!N26</f>
        <v>-32.1</v>
      </c>
      <c r="S34" s="1083"/>
      <c r="T34" s="1073">
        <f>[2]rapkvart!AE26</f>
        <v>0</v>
      </c>
      <c r="U34" s="1073">
        <f>[2]rapkvart!AF26</f>
        <v>0</v>
      </c>
      <c r="V34" s="1073">
        <f>[2]rapkvart!AG26</f>
        <v>0</v>
      </c>
      <c r="W34" s="1073">
        <f>[2]rapkvart!AH26</f>
        <v>0</v>
      </c>
      <c r="X34" s="1073">
        <f>[2]rapkvart!AA26</f>
        <v>-2.7</v>
      </c>
      <c r="Y34" s="1073">
        <f>[2]rapkvart!AB26</f>
        <v>-7.4999999999999991</v>
      </c>
      <c r="Z34" s="1073">
        <f>[2]rapkvart!AC26</f>
        <v>-6.5000000000000036</v>
      </c>
      <c r="AA34" s="1073">
        <f>[2]rapkvart!AD26</f>
        <v>-15.399999999999999</v>
      </c>
      <c r="AB34" s="1073">
        <f>[2]rapkvart!W26</f>
        <v>-2.8</v>
      </c>
      <c r="AC34" s="1073">
        <f>[2]rapkvart!X26</f>
        <v>-0.60000000000000009</v>
      </c>
      <c r="AD34" s="1073">
        <f>[2]rapkvart!Y26</f>
        <v>-13.300000000000002</v>
      </c>
      <c r="AE34" s="1073">
        <f>[2]rapkvart!Z26</f>
        <v>-15.399999999999999</v>
      </c>
      <c r="AF34" s="356"/>
      <c r="AG34" s="356"/>
      <c r="AH34" s="356"/>
      <c r="AI34" s="356"/>
      <c r="AJ34" s="356"/>
      <c r="AK34" s="356"/>
      <c r="AL34" s="356"/>
      <c r="AM34" s="356"/>
      <c r="AN34" s="356"/>
      <c r="AO34" s="356"/>
      <c r="AP34" s="356"/>
      <c r="AQ34" s="356"/>
      <c r="AR34" s="356"/>
      <c r="AS34" s="356"/>
      <c r="AT34" s="356"/>
      <c r="AU34" s="356"/>
      <c r="AV34" s="1772" t="str">
        <f t="shared" si="28"/>
        <v>Periodens resultat från avvecklad verksamhet (efter skatt)</v>
      </c>
      <c r="AW34" s="1845"/>
      <c r="AX34" s="1773">
        <f t="shared" si="177"/>
        <v>-0.60000000000000009</v>
      </c>
      <c r="AY34" s="1846">
        <f t="shared" si="178"/>
        <v>-7.4999999999999991</v>
      </c>
      <c r="AZ34" s="1773">
        <f t="shared" si="179"/>
        <v>-3.4</v>
      </c>
      <c r="BA34" s="1846">
        <f t="shared" si="180"/>
        <v>-10.199999999999999</v>
      </c>
      <c r="BB34" s="1773">
        <f t="shared" si="181"/>
        <v>-25.300000000000004</v>
      </c>
      <c r="BC34" s="1846">
        <f t="shared" si="182"/>
        <v>-32.1</v>
      </c>
      <c r="BD34" s="356"/>
      <c r="BE34" s="1772" t="s">
        <v>323</v>
      </c>
      <c r="BF34" s="1845"/>
      <c r="BG34" s="1773">
        <f t="shared" si="183"/>
        <v>-0.60000000000000009</v>
      </c>
      <c r="BH34" s="1846">
        <f t="shared" si="184"/>
        <v>-7.4999999999999991</v>
      </c>
      <c r="BI34" s="1773">
        <f t="shared" si="185"/>
        <v>-3.4</v>
      </c>
      <c r="BJ34" s="1846">
        <f t="shared" si="186"/>
        <v>-10.199999999999999</v>
      </c>
      <c r="BK34" s="1773">
        <f t="shared" si="187"/>
        <v>-25.300000000000004</v>
      </c>
      <c r="BL34" s="1846">
        <f t="shared" si="188"/>
        <v>-32.1</v>
      </c>
      <c r="BM34" s="356"/>
      <c r="BN34" s="242"/>
      <c r="BO34" s="356"/>
      <c r="BP34" s="341" t="str">
        <f t="shared" si="119"/>
        <v>Periodens resultat från avvecklad verksamhet (efter skatt)</v>
      </c>
      <c r="BQ34" s="978"/>
      <c r="BR34" s="979"/>
      <c r="BS34" s="979"/>
      <c r="BT34" s="979"/>
      <c r="BU34" s="979"/>
      <c r="BV34" s="979"/>
      <c r="BW34" s="979"/>
      <c r="BX34" s="979"/>
      <c r="BY34" s="979"/>
      <c r="BZ34" s="979"/>
      <c r="CA34" s="979"/>
      <c r="CB34" s="979"/>
      <c r="CC34" s="356"/>
      <c r="CD34" s="356"/>
      <c r="CE34" s="1288">
        <f t="shared" si="171"/>
        <v>0</v>
      </c>
      <c r="CF34" s="281">
        <f t="shared" si="36"/>
        <v>24</v>
      </c>
      <c r="CH34" s="1608"/>
      <c r="CI34" s="341" t="s">
        <v>330</v>
      </c>
      <c r="CJ34" s="1365"/>
      <c r="CK34" s="978">
        <f>SUM(CK32:CK33)</f>
        <v>0</v>
      </c>
      <c r="CL34" s="978">
        <f t="shared" ref="CL34:CV34" si="257">SUM(CL32:CL33)</f>
        <v>0</v>
      </c>
      <c r="CM34" s="978">
        <f t="shared" si="257"/>
        <v>0</v>
      </c>
      <c r="CN34" s="978">
        <f t="shared" si="257"/>
        <v>0</v>
      </c>
      <c r="CO34" s="978">
        <f t="shared" si="257"/>
        <v>-2.754</v>
      </c>
      <c r="CP34" s="978">
        <f t="shared" si="257"/>
        <v>-7.5329999999999995</v>
      </c>
      <c r="CQ34" s="978">
        <f t="shared" si="257"/>
        <v>-6.3990000000000018</v>
      </c>
      <c r="CR34" s="978">
        <f t="shared" si="257"/>
        <v>-15.713999999999999</v>
      </c>
      <c r="CS34" s="978">
        <f t="shared" si="257"/>
        <v>-2.835</v>
      </c>
      <c r="CT34" s="978">
        <f t="shared" si="257"/>
        <v>-0.64799999999999991</v>
      </c>
      <c r="CU34" s="978">
        <f t="shared" si="257"/>
        <v>-13.203000000000001</v>
      </c>
      <c r="CV34" s="978">
        <f t="shared" si="257"/>
        <v>-15.713999999999999</v>
      </c>
      <c r="CW34" s="1008"/>
      <c r="CX34" s="1008"/>
      <c r="CY34" s="1008"/>
      <c r="CZ34" s="1008"/>
      <c r="DA34" s="1008"/>
      <c r="DB34" s="1008"/>
      <c r="DC34" s="1008"/>
      <c r="DD34" s="1008"/>
      <c r="DE34" s="1008"/>
      <c r="DF34" s="1008"/>
      <c r="DG34" s="1008"/>
      <c r="DH34" s="1008"/>
      <c r="DI34" s="1008"/>
      <c r="DJ34" s="244"/>
      <c r="DK34" s="1639" t="str">
        <f t="shared" si="73"/>
        <v>Periodens resultat från avvecklad verksamhet (efter skatt)</v>
      </c>
      <c r="DL34" s="1622">
        <f t="shared" si="38"/>
        <v>0</v>
      </c>
      <c r="DM34" s="1622">
        <f t="shared" si="39"/>
        <v>0</v>
      </c>
      <c r="DN34" s="1622">
        <f t="shared" si="40"/>
        <v>0</v>
      </c>
      <c r="DO34" s="1622">
        <f t="shared" si="41"/>
        <v>0</v>
      </c>
      <c r="DP34" s="1622">
        <f t="shared" si="42"/>
        <v>-5.3999999999999826E-2</v>
      </c>
      <c r="DQ34" s="1622">
        <f t="shared" si="43"/>
        <v>-3.3000000000000362E-2</v>
      </c>
      <c r="DR34" s="1622">
        <f t="shared" si="44"/>
        <v>0.10100000000000176</v>
      </c>
      <c r="DS34" s="1622">
        <f t="shared" si="45"/>
        <v>-0.31400000000000006</v>
      </c>
      <c r="DT34" s="1622">
        <f t="shared" si="46"/>
        <v>-3.5000000000000142E-2</v>
      </c>
      <c r="DU34" s="1655">
        <f t="shared" si="47"/>
        <v>-4.7999999999999821E-2</v>
      </c>
      <c r="DV34" s="1622">
        <f t="shared" si="48"/>
        <v>9.7000000000001307E-2</v>
      </c>
      <c r="DW34" s="1622">
        <f t="shared" si="49"/>
        <v>-0.31400000000000006</v>
      </c>
      <c r="DX34" s="244"/>
      <c r="DY34" s="1772" t="str">
        <f t="shared" si="121"/>
        <v>Periodens resultat från avvecklad verksamhet (efter skatt)</v>
      </c>
      <c r="DZ34" s="1845"/>
      <c r="EA34" s="1773">
        <f t="shared" si="122"/>
        <v>-0.64799999999999991</v>
      </c>
      <c r="EB34" s="1846">
        <f t="shared" si="123"/>
        <v>-7.5329999999999995</v>
      </c>
      <c r="EC34" s="1773">
        <f t="shared" si="124"/>
        <v>-3.4829999999999997</v>
      </c>
      <c r="ED34" s="1846">
        <f t="shared" si="125"/>
        <v>-10.286999999999999</v>
      </c>
      <c r="EE34" s="1773">
        <f t="shared" si="126"/>
        <v>-25.596</v>
      </c>
      <c r="EF34" s="1846">
        <f t="shared" si="127"/>
        <v>-32.4</v>
      </c>
      <c r="EH34" s="242"/>
      <c r="EI34" s="242"/>
      <c r="EK34" s="1772" t="s">
        <v>323</v>
      </c>
      <c r="EL34" s="1845"/>
      <c r="EM34" s="1773">
        <f t="shared" si="74"/>
        <v>-0.64799999999999991</v>
      </c>
      <c r="EN34" s="1846">
        <f t="shared" si="75"/>
        <v>-7.5329999999999995</v>
      </c>
      <c r="EO34" s="1773">
        <f t="shared" si="76"/>
        <v>-3.4829999999999997</v>
      </c>
      <c r="EP34" s="1846">
        <f t="shared" si="77"/>
        <v>-10.286999999999999</v>
      </c>
      <c r="EQ34" s="1773">
        <f t="shared" si="78"/>
        <v>-25.596</v>
      </c>
      <c r="ER34" s="1846">
        <f t="shared" si="79"/>
        <v>-32.4</v>
      </c>
      <c r="ET34" s="242"/>
      <c r="EU34" s="2034">
        <f t="shared" si="240"/>
        <v>0</v>
      </c>
      <c r="EV34" s="242"/>
      <c r="EW34" s="907" t="str">
        <f t="shared" si="254"/>
        <v>Rörelseresultat, Mkr</v>
      </c>
      <c r="EX34" s="908">
        <f t="shared" ref="EX34:FC36" si="258">HJ56</f>
        <v>92.400000000000063</v>
      </c>
      <c r="EY34" s="909">
        <f t="shared" si="258"/>
        <v>40.399999999999849</v>
      </c>
      <c r="EZ34" s="908">
        <f t="shared" si="258"/>
        <v>142.80000000000004</v>
      </c>
      <c r="FA34" s="909">
        <f t="shared" si="258"/>
        <v>97.899999999999949</v>
      </c>
      <c r="FB34" s="2032">
        <f t="shared" si="258"/>
        <v>193.50000000000023</v>
      </c>
      <c r="FC34" s="908">
        <f t="shared" si="258"/>
        <v>148.60000000000014</v>
      </c>
      <c r="FD34" s="310"/>
      <c r="FE34" s="310"/>
      <c r="FF34" s="901" t="str">
        <f t="shared" si="247"/>
        <v>Net Income for the period, MSEK</v>
      </c>
      <c r="FG34" s="908">
        <f t="shared" si="248"/>
        <v>70.000000000000071</v>
      </c>
      <c r="FH34" s="909">
        <f t="shared" si="248"/>
        <v>18.099999999999856</v>
      </c>
      <c r="FI34" s="908">
        <f t="shared" si="248"/>
        <v>104.00000000000006</v>
      </c>
      <c r="FJ34" s="909">
        <f t="shared" si="248"/>
        <v>61.499999999999957</v>
      </c>
      <c r="FK34" s="2032">
        <f t="shared" si="248"/>
        <v>120.60000000000025</v>
      </c>
      <c r="FL34" s="908">
        <f t="shared" si="248"/>
        <v>78.100000000000136</v>
      </c>
      <c r="FM34" s="310"/>
      <c r="FN34" s="310"/>
      <c r="FO34" s="310"/>
      <c r="FP34" s="310"/>
      <c r="FQ34" s="310"/>
      <c r="FR34" s="310"/>
      <c r="FS34" s="242"/>
      <c r="FT34" s="242"/>
      <c r="FU34" s="242"/>
      <c r="FV34" s="242"/>
      <c r="FW34" s="242"/>
      <c r="FX34" s="242"/>
      <c r="FY34" s="242"/>
      <c r="FZ34" s="242"/>
      <c r="GA34" s="242"/>
      <c r="GB34" s="242"/>
      <c r="GC34" s="310"/>
      <c r="GD34" s="310"/>
      <c r="GE34" s="310"/>
      <c r="GF34" s="310"/>
      <c r="GG34" s="310"/>
      <c r="GH34" s="310"/>
      <c r="GI34" s="310"/>
      <c r="GJ34" s="310"/>
      <c r="GK34" s="310"/>
      <c r="GL34" s="310"/>
      <c r="GM34" s="310"/>
      <c r="GN34" s="310"/>
      <c r="GO34" s="310"/>
      <c r="GP34" s="310"/>
      <c r="GQ34" s="310"/>
      <c r="GR34" s="310"/>
      <c r="GS34" s="310"/>
      <c r="GT34" s="890"/>
      <c r="GU34" s="412" t="s">
        <v>329</v>
      </c>
      <c r="GV34" s="242"/>
      <c r="GW34" s="1992">
        <f t="shared" ref="GW34:HH34" si="259">CK$29</f>
        <v>11.302500000000016</v>
      </c>
      <c r="GX34" s="1992">
        <f t="shared" si="259"/>
        <v>29.70250000000005</v>
      </c>
      <c r="GY34" s="1992">
        <f t="shared" si="259"/>
        <v>0.50249999999982009</v>
      </c>
      <c r="GZ34" s="1992">
        <f t="shared" si="259"/>
        <v>-1.9974999999997705</v>
      </c>
      <c r="HA34" s="1992">
        <f t="shared" si="259"/>
        <v>34.275000000000063</v>
      </c>
      <c r="HB34" s="1992">
        <f t="shared" si="259"/>
        <v>10.874999999999797</v>
      </c>
      <c r="HC34" s="1992">
        <f t="shared" si="259"/>
        <v>2.4750000000000836</v>
      </c>
      <c r="HD34" s="1992">
        <f t="shared" si="259"/>
        <v>-3.3249999999998927</v>
      </c>
      <c r="HE34" s="1992">
        <f t="shared" si="259"/>
        <v>22.899357999999975</v>
      </c>
      <c r="HF34" s="1992">
        <f t="shared" si="259"/>
        <v>62.872856000000112</v>
      </c>
      <c r="HG34" s="1992">
        <f t="shared" si="259"/>
        <v>-15.000000000000046</v>
      </c>
      <c r="HH34" s="1992">
        <f t="shared" si="259"/>
        <v>21.400000000000095</v>
      </c>
      <c r="HJ34" s="1203">
        <f t="shared" si="236"/>
        <v>62.872856000000112</v>
      </c>
      <c r="HK34" s="1204">
        <f t="shared" si="237"/>
        <v>10.874999999999797</v>
      </c>
      <c r="HL34" s="1203">
        <f>SUM(HE34:HF34)</f>
        <v>85.772214000000091</v>
      </c>
      <c r="HM34" s="1204">
        <f>SUM(HA34:HB34)</f>
        <v>45.149999999999864</v>
      </c>
      <c r="HN34" s="1203">
        <f>SUM(HC34:HF34)</f>
        <v>84.922214000000281</v>
      </c>
      <c r="HO34" s="2017">
        <f>SUM(HA34:HD34)</f>
        <v>44.300000000000054</v>
      </c>
      <c r="HP34" s="1999"/>
      <c r="HQ34" s="310"/>
      <c r="HR34" s="310"/>
      <c r="HS34" s="310"/>
      <c r="HT34" s="310"/>
      <c r="HU34" s="310"/>
      <c r="HV34" s="310"/>
      <c r="HW34" s="310"/>
      <c r="HX34" s="310"/>
      <c r="HY34" s="310"/>
      <c r="HZ34" s="892"/>
      <c r="IA34" s="412" t="s">
        <v>249</v>
      </c>
      <c r="IB34" s="2066">
        <f t="shared" si="238"/>
        <v>62.872856000000112</v>
      </c>
      <c r="IC34" s="2067">
        <f t="shared" si="238"/>
        <v>10.874999999999797</v>
      </c>
      <c r="ID34" s="2066">
        <f t="shared" si="238"/>
        <v>85.772214000000091</v>
      </c>
      <c r="IE34" s="2067">
        <f t="shared" si="238"/>
        <v>45.149999999999864</v>
      </c>
      <c r="IF34" s="2066">
        <f t="shared" si="238"/>
        <v>84.922214000000281</v>
      </c>
      <c r="IG34" s="2070">
        <f t="shared" si="238"/>
        <v>44.300000000000054</v>
      </c>
      <c r="IH34" s="1219"/>
      <c r="IJ34" s="1678">
        <f t="shared" si="173"/>
        <v>0</v>
      </c>
      <c r="IK34" s="264">
        <f t="shared" si="23"/>
        <v>24</v>
      </c>
      <c r="IL34" s="242"/>
      <c r="IM34" s="242"/>
      <c r="IN34" s="1180" t="str">
        <f t="shared" si="133"/>
        <v>Periodens resultat från avvecklad verksamhet (efter skatt)</v>
      </c>
      <c r="IO34" s="1701"/>
      <c r="IP34" s="1701"/>
      <c r="IQ34" s="1701"/>
      <c r="IR34" s="242"/>
      <c r="IS34" s="242"/>
      <c r="IT34" s="1678">
        <f t="shared" si="174"/>
        <v>0</v>
      </c>
      <c r="IU34" s="264">
        <f t="shared" si="24"/>
        <v>24</v>
      </c>
      <c r="IV34" s="242"/>
      <c r="IW34" s="242"/>
      <c r="IX34" s="1180" t="s">
        <v>330</v>
      </c>
      <c r="IY34" s="1180"/>
      <c r="IZ34" s="1241">
        <f>SUM(IZ32:IZ33)</f>
        <v>-0.59999999999999976</v>
      </c>
      <c r="JA34" s="1701">
        <f t="shared" si="86"/>
        <v>-4.8000000000000154E-2</v>
      </c>
      <c r="JB34" s="1241">
        <f t="shared" si="134"/>
        <v>-0.64799999999999991</v>
      </c>
      <c r="JC34" s="242"/>
      <c r="JD34" s="242"/>
      <c r="JE34" s="242"/>
      <c r="JF34" s="1772" t="str">
        <f t="shared" si="135"/>
        <v>Periodens resultat från avvecklad verksamhet (efter skatt)</v>
      </c>
      <c r="JG34" s="1773">
        <f t="shared" si="175"/>
        <v>-0.59999999999999976</v>
      </c>
      <c r="JH34" s="1774">
        <f>JA34</f>
        <v>-4.8000000000000154E-2</v>
      </c>
      <c r="JI34" s="1773">
        <f t="shared" si="176"/>
        <v>-0.64799999999999991</v>
      </c>
      <c r="JJ34" s="242"/>
      <c r="JK34" s="242"/>
      <c r="JL34" s="242"/>
      <c r="JM34" s="1784" t="s">
        <v>327</v>
      </c>
      <c r="JN34" s="1785">
        <f t="shared" si="87"/>
        <v>-0.59999999999999976</v>
      </c>
      <c r="JO34" s="1786">
        <f t="shared" si="148"/>
        <v>-4.8000000000000154E-2</v>
      </c>
      <c r="JP34" s="1785">
        <f t="shared" si="88"/>
        <v>-0.64799999999999991</v>
      </c>
      <c r="JQ34" s="242"/>
    </row>
    <row r="35" spans="2:277" s="269" customFormat="1" ht="11.25" customHeight="1" outlineLevel="1" thickBot="1" x14ac:dyDescent="0.25">
      <c r="B35" s="264">
        <f t="shared" si="27"/>
        <v>26</v>
      </c>
      <c r="D35" s="300" t="s">
        <v>333</v>
      </c>
      <c r="E35" s="300"/>
      <c r="G35" s="1076">
        <f>[2]rapkvart!S27</f>
        <v>27.500000000000043</v>
      </c>
      <c r="H35" s="1076">
        <f>[2]rapkvart!T27</f>
        <v>69.100000000000094</v>
      </c>
      <c r="I35" s="1076">
        <f>[2]rapkvart!U27</f>
        <v>87.899999999999906</v>
      </c>
      <c r="J35" s="1076">
        <f>[2]rapkvart!V27</f>
        <v>100.10000000000015</v>
      </c>
      <c r="K35" s="1076">
        <f>[2]rapkvart!O27</f>
        <v>43.40000000000007</v>
      </c>
      <c r="L35" s="1076">
        <f>[2]rapkvart!P27</f>
        <v>61.499999999999915</v>
      </c>
      <c r="M35" s="1076">
        <f>[2]rapkvart!Q27</f>
        <v>79.200000000000017</v>
      </c>
      <c r="N35" s="1076">
        <f>[2]rapkvart!R27</f>
        <v>78.100000000000108</v>
      </c>
      <c r="O35" s="1076">
        <f>[2]rapkvart!K27</f>
        <v>33.999999999999986</v>
      </c>
      <c r="P35" s="1076">
        <f>[2]rapkvart!L27</f>
        <v>104.00000000000004</v>
      </c>
      <c r="Q35" s="1076">
        <f>[2]rapkvart!M27</f>
        <v>79.200000000000017</v>
      </c>
      <c r="R35" s="1076">
        <f>[2]rapkvart!N27</f>
        <v>78.100000000000108</v>
      </c>
      <c r="S35" s="1072"/>
      <c r="T35" s="1073">
        <f>[2]rapkvart!AE27</f>
        <v>27.500000000000043</v>
      </c>
      <c r="U35" s="1073">
        <f>[2]rapkvart!AF27</f>
        <v>41.600000000000051</v>
      </c>
      <c r="V35" s="1073">
        <f>[2]rapkvart!AG27</f>
        <v>18.799999999999816</v>
      </c>
      <c r="W35" s="1073">
        <f>[2]rapkvart!AH27</f>
        <v>12.20000000000023</v>
      </c>
      <c r="X35" s="1073">
        <f>[2]rapkvart!AA27</f>
        <v>43.400000000000105</v>
      </c>
      <c r="Y35" s="1073">
        <f>[2]rapkvart!AB27</f>
        <v>18.099999999999856</v>
      </c>
      <c r="Z35" s="1073">
        <f>[2]rapkvart!AC27</f>
        <v>17.700000000000092</v>
      </c>
      <c r="AA35" s="1073">
        <f>[2]rapkvart!AD27</f>
        <v>-1.0999999999999055</v>
      </c>
      <c r="AB35" s="1073">
        <f>[2]rapkvart!W27</f>
        <v>33.999999999999986</v>
      </c>
      <c r="AC35" s="1073">
        <f>[2]rapkvart!X27</f>
        <v>70.000000000000071</v>
      </c>
      <c r="AD35" s="1073">
        <f>[2]rapkvart!Y27</f>
        <v>-24.800000000000047</v>
      </c>
      <c r="AE35" s="1073">
        <f>[2]rapkvart!Z27</f>
        <v>-1.0999999999999055</v>
      </c>
      <c r="AV35" s="1180" t="str">
        <f t="shared" si="28"/>
        <v>Periodens resultat efter skatt</v>
      </c>
      <c r="AW35" s="1181"/>
      <c r="AX35" s="1230">
        <f t="shared" si="177"/>
        <v>70.000000000000071</v>
      </c>
      <c r="AY35" s="1231">
        <f t="shared" si="178"/>
        <v>18.099999999999856</v>
      </c>
      <c r="AZ35" s="1230">
        <f t="shared" si="179"/>
        <v>104.00000000000004</v>
      </c>
      <c r="BA35" s="1231">
        <f t="shared" si="180"/>
        <v>61.499999999999915</v>
      </c>
      <c r="BB35" s="1230">
        <f t="shared" si="181"/>
        <v>120.60000000000025</v>
      </c>
      <c r="BC35" s="1231">
        <f t="shared" si="182"/>
        <v>78.100000000000108</v>
      </c>
      <c r="BE35" s="1180" t="s">
        <v>334</v>
      </c>
      <c r="BF35" s="1181"/>
      <c r="BG35" s="1230">
        <f t="shared" si="183"/>
        <v>70.000000000000071</v>
      </c>
      <c r="BH35" s="1231">
        <f t="shared" si="184"/>
        <v>18.099999999999856</v>
      </c>
      <c r="BI35" s="1230">
        <f t="shared" si="185"/>
        <v>104.00000000000004</v>
      </c>
      <c r="BJ35" s="1231">
        <f t="shared" si="186"/>
        <v>61.499999999999915</v>
      </c>
      <c r="BK35" s="1230">
        <f t="shared" si="187"/>
        <v>120.60000000000025</v>
      </c>
      <c r="BL35" s="1231">
        <f t="shared" si="188"/>
        <v>78.100000000000108</v>
      </c>
      <c r="BN35" s="242"/>
      <c r="BP35" s="328" t="str">
        <f t="shared" si="119"/>
        <v>Periodens resultat (efter skatt)</v>
      </c>
      <c r="BQ35" s="329"/>
      <c r="BR35" s="328"/>
      <c r="BS35" s="328"/>
      <c r="BT35" s="328"/>
      <c r="BU35" s="328"/>
      <c r="BV35" s="328"/>
      <c r="BW35" s="328"/>
      <c r="BX35" s="328"/>
      <c r="BY35" s="328"/>
      <c r="BZ35" s="328"/>
      <c r="CA35" s="328"/>
      <c r="CB35" s="328"/>
      <c r="CE35" s="1288">
        <f t="shared" si="171"/>
        <v>1</v>
      </c>
      <c r="CF35" s="281">
        <f t="shared" si="36"/>
        <v>25</v>
      </c>
      <c r="CH35" s="1608"/>
      <c r="CI35" s="328" t="s">
        <v>335</v>
      </c>
      <c r="CJ35" s="329"/>
      <c r="CK35" s="974">
        <f>CK31+CK34</f>
        <v>8.9741850000000127</v>
      </c>
      <c r="CL35" s="974">
        <f t="shared" ref="CL35:CV35" si="260">CL31+CL34</f>
        <v>23.583785000000042</v>
      </c>
      <c r="CM35" s="974">
        <f t="shared" si="260"/>
        <v>0.39898499999985715</v>
      </c>
      <c r="CN35" s="974">
        <f t="shared" si="260"/>
        <v>-1.5860149999998177</v>
      </c>
      <c r="CO35" s="974">
        <f t="shared" si="260"/>
        <v>24.460350000000048</v>
      </c>
      <c r="CP35" s="974">
        <f t="shared" si="260"/>
        <v>1.1017499999998392</v>
      </c>
      <c r="CQ35" s="974">
        <f t="shared" si="260"/>
        <v>-4.4338499999999357</v>
      </c>
      <c r="CR35" s="974">
        <f t="shared" si="260"/>
        <v>-18.354049999999912</v>
      </c>
      <c r="CS35" s="974">
        <f t="shared" si="260"/>
        <v>15.34709025199998</v>
      </c>
      <c r="CT35" s="974">
        <f t="shared" si="260"/>
        <v>49.273047664000089</v>
      </c>
      <c r="CU35" s="974">
        <f t="shared" si="260"/>
        <v>-25.113000000000039</v>
      </c>
      <c r="CV35" s="974">
        <f t="shared" si="260"/>
        <v>1.2776000000000778</v>
      </c>
      <c r="CW35" s="1008"/>
      <c r="CX35" s="1008"/>
      <c r="CY35" s="1008"/>
      <c r="CZ35" s="1008"/>
      <c r="DA35" s="1008"/>
      <c r="DB35" s="1008"/>
      <c r="DC35" s="1008"/>
      <c r="DD35" s="1008"/>
      <c r="DE35" s="1008"/>
      <c r="DF35" s="1008"/>
      <c r="DG35" s="1008"/>
      <c r="DH35" s="1008"/>
      <c r="DI35" s="1008"/>
      <c r="DJ35" s="244"/>
      <c r="DK35" s="1640" t="str">
        <f t="shared" si="73"/>
        <v>Periodens resultat (efter skatt)</v>
      </c>
      <c r="DL35" s="1623">
        <f t="shared" si="38"/>
        <v>-18.52581500000003</v>
      </c>
      <c r="DM35" s="1623">
        <f t="shared" si="39"/>
        <v>-18.01621500000001</v>
      </c>
      <c r="DN35" s="1623">
        <f t="shared" si="40"/>
        <v>-18.401014999999958</v>
      </c>
      <c r="DO35" s="1623">
        <f t="shared" si="41"/>
        <v>-13.786015000000049</v>
      </c>
      <c r="DP35" s="1623">
        <f t="shared" si="42"/>
        <v>-18.939650000000057</v>
      </c>
      <c r="DQ35" s="1623">
        <f t="shared" si="43"/>
        <v>-16.998250000000017</v>
      </c>
      <c r="DR35" s="1623">
        <f t="shared" si="44"/>
        <v>-22.133850000000027</v>
      </c>
      <c r="DS35" s="1623">
        <f t="shared" si="45"/>
        <v>-17.254050000000007</v>
      </c>
      <c r="DT35" s="1623">
        <f t="shared" si="46"/>
        <v>-18.652909748000006</v>
      </c>
      <c r="DU35" s="1656">
        <f t="shared" si="47"/>
        <v>-20.726952335999982</v>
      </c>
      <c r="DV35" s="1623">
        <f t="shared" si="48"/>
        <v>-0.31299999999999173</v>
      </c>
      <c r="DW35" s="1623">
        <f t="shared" si="49"/>
        <v>2.3775999999999833</v>
      </c>
      <c r="DX35" s="244"/>
      <c r="DY35" s="1180" t="str">
        <f t="shared" si="121"/>
        <v>Periodens resultat (efter skatt)</v>
      </c>
      <c r="DZ35" s="1181"/>
      <c r="EA35" s="1230">
        <f t="shared" si="122"/>
        <v>49.273047664000089</v>
      </c>
      <c r="EB35" s="1231">
        <f t="shared" si="123"/>
        <v>1.1017499999998392</v>
      </c>
      <c r="EC35" s="1230">
        <f t="shared" si="124"/>
        <v>64.620137916000061</v>
      </c>
      <c r="ED35" s="1231">
        <f t="shared" si="125"/>
        <v>25.562099999999887</v>
      </c>
      <c r="EE35" s="1230">
        <f t="shared" si="126"/>
        <v>41.832237916000224</v>
      </c>
      <c r="EF35" s="1231">
        <f t="shared" si="127"/>
        <v>2.7742000000000395</v>
      </c>
      <c r="EH35" s="242"/>
      <c r="EI35" s="242"/>
      <c r="EK35" s="1180" t="s">
        <v>334</v>
      </c>
      <c r="EL35" s="1181"/>
      <c r="EM35" s="1230">
        <f t="shared" si="74"/>
        <v>49.273047664000089</v>
      </c>
      <c r="EN35" s="1231">
        <f t="shared" si="75"/>
        <v>1.1017499999998392</v>
      </c>
      <c r="EO35" s="1230">
        <f t="shared" si="76"/>
        <v>64.620137916000061</v>
      </c>
      <c r="EP35" s="1231">
        <f t="shared" si="77"/>
        <v>25.562099999999887</v>
      </c>
      <c r="EQ35" s="1230">
        <f t="shared" si="78"/>
        <v>41.832237916000224</v>
      </c>
      <c r="ER35" s="1231">
        <f t="shared" si="79"/>
        <v>2.7742000000000395</v>
      </c>
      <c r="ET35" s="242"/>
      <c r="EU35" s="2034">
        <f t="shared" si="240"/>
        <v>0</v>
      </c>
      <c r="EV35" s="242"/>
      <c r="EW35" s="907" t="str">
        <f t="shared" si="254"/>
        <v>Periodens resultat (efter skatt), Mkr</v>
      </c>
      <c r="EX35" s="908">
        <f t="shared" si="258"/>
        <v>70.000000000000071</v>
      </c>
      <c r="EY35" s="909">
        <f t="shared" si="258"/>
        <v>18.099999999999856</v>
      </c>
      <c r="EZ35" s="908">
        <f t="shared" si="258"/>
        <v>104.00000000000006</v>
      </c>
      <c r="FA35" s="909">
        <f t="shared" si="258"/>
        <v>61.499999999999957</v>
      </c>
      <c r="FB35" s="2032">
        <f t="shared" si="258"/>
        <v>120.60000000000025</v>
      </c>
      <c r="FC35" s="908">
        <f t="shared" si="258"/>
        <v>78.100000000000136</v>
      </c>
      <c r="FD35" s="310"/>
      <c r="FE35" s="310"/>
      <c r="FF35" s="901" t="str">
        <f t="shared" si="247"/>
        <v>Net income for the period related to continuing operations, MSEK</v>
      </c>
      <c r="FG35" s="908">
        <f t="shared" si="248"/>
        <v>70.600000000000065</v>
      </c>
      <c r="FH35" s="909">
        <f t="shared" si="248"/>
        <v>25.599999999999852</v>
      </c>
      <c r="FI35" s="908">
        <f t="shared" si="248"/>
        <v>107.40000000000005</v>
      </c>
      <c r="FJ35" s="909">
        <f t="shared" si="248"/>
        <v>71.69999999999996</v>
      </c>
      <c r="FK35" s="2032">
        <f t="shared" si="248"/>
        <v>145.90000000000023</v>
      </c>
      <c r="FL35" s="908">
        <f t="shared" si="248"/>
        <v>110.20000000000016</v>
      </c>
      <c r="FM35" s="310"/>
      <c r="FN35" s="310"/>
      <c r="FO35" s="310"/>
      <c r="FP35" s="310"/>
      <c r="FQ35" s="310"/>
      <c r="FR35" s="310"/>
      <c r="FS35" s="242"/>
      <c r="FT35" s="242"/>
      <c r="FU35" s="242"/>
      <c r="FV35" s="242"/>
      <c r="FW35" s="242"/>
      <c r="FX35" s="242"/>
      <c r="FY35" s="242"/>
      <c r="FZ35" s="242"/>
      <c r="GA35" s="242"/>
      <c r="GB35" s="242"/>
      <c r="GC35" s="310"/>
      <c r="GD35" s="310"/>
      <c r="GE35" s="310"/>
      <c r="GF35" s="310"/>
      <c r="GG35" s="310"/>
      <c r="GH35" s="310"/>
      <c r="GI35" s="310"/>
      <c r="GJ35" s="310"/>
      <c r="GK35" s="310"/>
      <c r="GL35" s="310"/>
      <c r="GM35" s="310"/>
      <c r="GN35" s="310"/>
      <c r="GO35" s="310"/>
      <c r="GP35" s="310"/>
      <c r="GQ35" s="310"/>
      <c r="GR35" s="310"/>
      <c r="GS35" s="310"/>
      <c r="GT35" s="890"/>
      <c r="GU35" s="412" t="s">
        <v>331</v>
      </c>
      <c r="GV35" s="242"/>
      <c r="GW35" s="1993">
        <f t="shared" ref="GW35:HH35" si="261">GW34/GW12</f>
        <v>1.9446834136269815E-2</v>
      </c>
      <c r="GX35" s="1993">
        <f t="shared" si="261"/>
        <v>4.9135649296939705E-2</v>
      </c>
      <c r="GY35" s="1993">
        <f t="shared" si="261"/>
        <v>9.919068298456775E-4</v>
      </c>
      <c r="GZ35" s="1993">
        <f t="shared" si="261"/>
        <v>-3.4469370146674198E-3</v>
      </c>
      <c r="HA35" s="1993">
        <f t="shared" si="261"/>
        <v>5.3588180112570452E-2</v>
      </c>
      <c r="HB35" s="1993">
        <f t="shared" si="261"/>
        <v>1.6183035714285417E-2</v>
      </c>
      <c r="HC35" s="1993">
        <f t="shared" si="261"/>
        <v>4.9718762555244732E-3</v>
      </c>
      <c r="HD35" s="1993">
        <f t="shared" si="261"/>
        <v>-6.3893159108376098E-3</v>
      </c>
      <c r="HE35" s="1993">
        <f t="shared" si="261"/>
        <v>3.7564563648293921E-2</v>
      </c>
      <c r="HF35" s="1993">
        <f t="shared" si="261"/>
        <v>9.1825406747480826E-2</v>
      </c>
      <c r="HG35" s="1993">
        <f t="shared" si="261"/>
        <v>-2.9120559114735083E-2</v>
      </c>
      <c r="HH35" s="1993">
        <f t="shared" si="261"/>
        <v>4.1122213681783419E-2</v>
      </c>
      <c r="HJ35" s="926">
        <f t="shared" si="236"/>
        <v>9.1825406747480826E-2</v>
      </c>
      <c r="HK35" s="927">
        <f t="shared" si="237"/>
        <v>1.6183035714285417E-2</v>
      </c>
      <c r="HL35" s="926">
        <f>HL34/HL$12</f>
        <v>6.6269191068531325E-2</v>
      </c>
      <c r="HM35" s="927">
        <f>HM34/HM$12</f>
        <v>3.4423604757547931E-2</v>
      </c>
      <c r="HN35" s="926">
        <f>HN34/HN$12</f>
        <v>3.6723119567567686E-2</v>
      </c>
      <c r="HO35" s="2018">
        <f>HO34/HO$12</f>
        <v>1.9014507683062946E-2</v>
      </c>
      <c r="HP35" s="1999"/>
      <c r="HQ35" s="310"/>
      <c r="HR35" s="310"/>
      <c r="HS35" s="310"/>
      <c r="HT35" s="310"/>
      <c r="HU35" s="310"/>
      <c r="HV35" s="310"/>
      <c r="HW35" s="310"/>
      <c r="HX35" s="310"/>
      <c r="HY35" s="310"/>
      <c r="HZ35" s="892"/>
      <c r="IA35" s="412" t="s">
        <v>332</v>
      </c>
      <c r="IB35" s="926">
        <f t="shared" si="238"/>
        <v>9.1825406747480826E-2</v>
      </c>
      <c r="IC35" s="927">
        <f t="shared" si="238"/>
        <v>1.6183035714285417E-2</v>
      </c>
      <c r="ID35" s="926">
        <f t="shared" si="238"/>
        <v>6.6269191068531325E-2</v>
      </c>
      <c r="IE35" s="927">
        <f t="shared" si="238"/>
        <v>3.4423604757547931E-2</v>
      </c>
      <c r="IF35" s="926">
        <f t="shared" si="238"/>
        <v>3.6723119567567686E-2</v>
      </c>
      <c r="IG35" s="2018">
        <f t="shared" si="238"/>
        <v>1.9014507683062946E-2</v>
      </c>
      <c r="IH35" s="1220"/>
      <c r="IJ35" s="1678">
        <f t="shared" si="173"/>
        <v>0</v>
      </c>
      <c r="IK35" s="264">
        <f t="shared" si="23"/>
        <v>25</v>
      </c>
      <c r="IL35" s="242"/>
      <c r="IM35" s="242"/>
      <c r="IN35" s="1192" t="str">
        <f t="shared" si="133"/>
        <v>Periodens resultat (efter skatt)</v>
      </c>
      <c r="IO35" s="1700"/>
      <c r="IP35" s="1700"/>
      <c r="IQ35" s="1700"/>
      <c r="IR35" s="242"/>
      <c r="IS35" s="242"/>
      <c r="IT35" s="1678">
        <f t="shared" si="174"/>
        <v>0</v>
      </c>
      <c r="IU35" s="264">
        <f t="shared" si="24"/>
        <v>25</v>
      </c>
      <c r="IV35" s="242"/>
      <c r="IW35" s="242"/>
      <c r="IX35" s="1192" t="s">
        <v>335</v>
      </c>
      <c r="IY35" s="1192"/>
      <c r="IZ35" s="1230">
        <f>SUM(IZ34,IZ31)</f>
        <v>70.000000000000114</v>
      </c>
      <c r="JA35" s="1700">
        <f t="shared" si="86"/>
        <v>-20.726952336000025</v>
      </c>
      <c r="JB35" s="1230">
        <f t="shared" si="134"/>
        <v>49.273047664000089</v>
      </c>
      <c r="JC35" s="242"/>
      <c r="JD35" s="242"/>
      <c r="JE35" s="242"/>
      <c r="JF35" s="1180" t="str">
        <f t="shared" si="135"/>
        <v>Periodens resultat (efter skatt)</v>
      </c>
      <c r="JG35" s="1230">
        <f t="shared" si="175"/>
        <v>70.000000000000114</v>
      </c>
      <c r="JH35" s="1700">
        <f>JA35</f>
        <v>-20.726952336000025</v>
      </c>
      <c r="JI35" s="1230">
        <f t="shared" si="176"/>
        <v>49.273047664000089</v>
      </c>
      <c r="JJ35" s="242"/>
      <c r="JK35" s="242"/>
      <c r="JL35" s="242"/>
      <c r="JM35" s="1787" t="s">
        <v>334</v>
      </c>
      <c r="JN35" s="1230">
        <f t="shared" si="87"/>
        <v>70.000000000000114</v>
      </c>
      <c r="JO35" s="1700">
        <f t="shared" si="148"/>
        <v>-20.726952336000025</v>
      </c>
      <c r="JP35" s="1230">
        <f t="shared" si="88"/>
        <v>49.273047664000089</v>
      </c>
      <c r="JQ35" s="242"/>
    </row>
    <row r="36" spans="2:277" s="269" customFormat="1" outlineLevel="1" x14ac:dyDescent="0.2">
      <c r="B36" s="264">
        <f t="shared" si="27"/>
        <v>27</v>
      </c>
      <c r="D36" s="278" t="str">
        <f>+[2]rapkvart!$B28</f>
        <v>Varav hänförligt till:</v>
      </c>
      <c r="E36" s="278"/>
      <c r="G36" s="1081"/>
      <c r="H36" s="1081"/>
      <c r="I36" s="1081"/>
      <c r="J36" s="1081"/>
      <c r="K36" s="1081"/>
      <c r="L36" s="1081"/>
      <c r="M36" s="1081"/>
      <c r="N36" s="1081"/>
      <c r="O36" s="1081"/>
      <c r="P36" s="1081"/>
      <c r="Q36" s="1081"/>
      <c r="R36" s="1081"/>
      <c r="S36" s="1084"/>
      <c r="T36" s="1073"/>
      <c r="U36" s="1073"/>
      <c r="V36" s="1073"/>
      <c r="W36" s="1073"/>
      <c r="X36" s="1073"/>
      <c r="Y36" s="1073"/>
      <c r="Z36" s="1073"/>
      <c r="AA36" s="1073"/>
      <c r="AB36" s="1073"/>
      <c r="AC36" s="1073"/>
      <c r="AD36" s="1073"/>
      <c r="AE36" s="1073"/>
      <c r="AF36" s="315"/>
      <c r="AG36" s="315"/>
      <c r="AH36" s="315"/>
      <c r="AI36" s="315"/>
      <c r="AJ36" s="315"/>
      <c r="AK36" s="315"/>
      <c r="AL36" s="315"/>
      <c r="AM36" s="315"/>
      <c r="AN36" s="315"/>
      <c r="AO36" s="315"/>
      <c r="AP36" s="315"/>
      <c r="AQ36" s="315"/>
      <c r="AR36" s="315"/>
      <c r="AS36" s="315"/>
      <c r="AT36" s="315"/>
      <c r="AV36" s="1873" t="str">
        <f t="shared" si="28"/>
        <v>Varav hänförligt till:</v>
      </c>
      <c r="AW36" s="1874"/>
      <c r="AX36" s="1765"/>
      <c r="AY36" s="1875"/>
      <c r="AZ36" s="1765"/>
      <c r="BA36" s="1875"/>
      <c r="BB36" s="1765"/>
      <c r="BC36" s="1875"/>
      <c r="BE36" s="1873" t="s">
        <v>336</v>
      </c>
      <c r="BF36" s="2332"/>
      <c r="BG36" s="2333"/>
      <c r="BH36" s="2332"/>
      <c r="BI36" s="2333"/>
      <c r="BJ36" s="2332"/>
      <c r="BK36" s="2333"/>
      <c r="BL36" s="2332"/>
      <c r="BN36" s="242"/>
      <c r="BP36" s="354" t="str">
        <f t="shared" si="119"/>
        <v>Varav hänförligt till:</v>
      </c>
      <c r="BQ36" s="353"/>
      <c r="BR36" s="354"/>
      <c r="BS36" s="354"/>
      <c r="BT36" s="354"/>
      <c r="BU36" s="354"/>
      <c r="BV36" s="354"/>
      <c r="BW36" s="354"/>
      <c r="BX36" s="354"/>
      <c r="BY36" s="354"/>
      <c r="BZ36" s="354"/>
      <c r="CA36" s="354"/>
      <c r="CB36" s="354"/>
      <c r="CD36" s="315"/>
      <c r="CE36" s="1288">
        <f t="shared" si="171"/>
        <v>0</v>
      </c>
      <c r="CF36" s="281">
        <f t="shared" si="36"/>
        <v>26</v>
      </c>
      <c r="CI36" s="354" t="s">
        <v>337</v>
      </c>
      <c r="CJ36" s="353"/>
      <c r="CK36" s="981"/>
      <c r="CL36" s="981"/>
      <c r="CM36" s="981"/>
      <c r="CN36" s="981"/>
      <c r="CO36" s="981"/>
      <c r="CP36" s="981"/>
      <c r="CQ36" s="981"/>
      <c r="CR36" s="981"/>
      <c r="CS36" s="981"/>
      <c r="CT36" s="981"/>
      <c r="CU36" s="981"/>
      <c r="CV36" s="981"/>
      <c r="CW36" s="1008"/>
      <c r="CX36" s="1008"/>
      <c r="CY36" s="1008"/>
      <c r="CZ36" s="1008"/>
      <c r="DA36" s="1008"/>
      <c r="DB36" s="1008"/>
      <c r="DC36" s="1008"/>
      <c r="DD36" s="1008"/>
      <c r="DE36" s="1008"/>
      <c r="DF36" s="1008"/>
      <c r="DG36" s="1008"/>
      <c r="DH36" s="1008"/>
      <c r="DI36" s="1008"/>
      <c r="DJ36" s="244"/>
      <c r="DK36" s="1638" t="str">
        <f t="shared" si="73"/>
        <v>Varav hänförligt till:</v>
      </c>
      <c r="DL36" s="1621">
        <f t="shared" si="38"/>
        <v>0</v>
      </c>
      <c r="DM36" s="1621">
        <f t="shared" si="39"/>
        <v>0</v>
      </c>
      <c r="DN36" s="1621">
        <f t="shared" si="40"/>
        <v>0</v>
      </c>
      <c r="DO36" s="1621">
        <f t="shared" si="41"/>
        <v>0</v>
      </c>
      <c r="DP36" s="1621">
        <f t="shared" si="42"/>
        <v>0</v>
      </c>
      <c r="DQ36" s="1621">
        <f t="shared" si="43"/>
        <v>0</v>
      </c>
      <c r="DR36" s="1621">
        <f t="shared" si="44"/>
        <v>0</v>
      </c>
      <c r="DS36" s="1621">
        <f t="shared" si="45"/>
        <v>0</v>
      </c>
      <c r="DT36" s="1621">
        <f t="shared" si="46"/>
        <v>0</v>
      </c>
      <c r="DU36" s="1621">
        <f t="shared" si="47"/>
        <v>0</v>
      </c>
      <c r="DV36" s="1621">
        <f t="shared" si="48"/>
        <v>0</v>
      </c>
      <c r="DW36" s="1621">
        <f t="shared" si="49"/>
        <v>0</v>
      </c>
      <c r="DX36" s="244"/>
      <c r="DY36" s="1873" t="str">
        <f t="shared" si="121"/>
        <v>Varav hänförligt till:</v>
      </c>
      <c r="DZ36" s="1874"/>
      <c r="EA36" s="1765"/>
      <c r="EB36" s="1875"/>
      <c r="EC36" s="1765"/>
      <c r="ED36" s="1875"/>
      <c r="EE36" s="1765"/>
      <c r="EF36" s="1875"/>
      <c r="EH36" s="242"/>
      <c r="EI36" s="242"/>
      <c r="EK36" s="1873" t="s">
        <v>336</v>
      </c>
      <c r="EL36" s="1874"/>
      <c r="EM36" s="1765"/>
      <c r="EN36" s="1875"/>
      <c r="EO36" s="1765"/>
      <c r="EP36" s="1875"/>
      <c r="EQ36" s="1765"/>
      <c r="ER36" s="1875"/>
      <c r="ET36" s="242"/>
      <c r="EU36" s="2034">
        <f t="shared" si="240"/>
        <v>0</v>
      </c>
      <c r="EV36" s="242"/>
      <c r="EW36" s="907" t="str">
        <f t="shared" si="254"/>
        <v>Periodens resultat av kvarvarande verksamhet (efter skatt), Mkr</v>
      </c>
      <c r="EX36" s="908">
        <f t="shared" si="258"/>
        <v>70.600000000000065</v>
      </c>
      <c r="EY36" s="909">
        <f t="shared" si="258"/>
        <v>25.599999999999852</v>
      </c>
      <c r="EZ36" s="908">
        <f t="shared" si="258"/>
        <v>107.40000000000005</v>
      </c>
      <c r="FA36" s="909">
        <f t="shared" si="258"/>
        <v>71.69999999999996</v>
      </c>
      <c r="FB36" s="2032">
        <f t="shared" si="258"/>
        <v>145.90000000000023</v>
      </c>
      <c r="FC36" s="908">
        <f t="shared" si="258"/>
        <v>110.20000000000016</v>
      </c>
      <c r="FD36" s="310"/>
      <c r="FE36" s="310"/>
      <c r="FF36" s="901" t="str">
        <f t="shared" si="247"/>
        <v>Earnings per share from continuing operations, SEK</v>
      </c>
      <c r="FG36" s="908">
        <f t="shared" si="248"/>
        <v>9.3390998783619494</v>
      </c>
      <c r="FH36" s="909">
        <f t="shared" si="248"/>
        <v>3.2707122584132793</v>
      </c>
      <c r="FI36" s="908">
        <f t="shared" si="248"/>
        <v>14.164076226517105</v>
      </c>
      <c r="FJ36" s="909">
        <f t="shared" si="248"/>
        <v>9.2850385187187392</v>
      </c>
      <c r="FK36" s="2032">
        <f t="shared" si="248"/>
        <v>19.15123665360187</v>
      </c>
      <c r="FL36" s="908">
        <f t="shared" si="248"/>
        <v>14.272198945803508</v>
      </c>
      <c r="FM36" s="310"/>
      <c r="FN36" s="310"/>
      <c r="FO36" s="310"/>
      <c r="FP36" s="310"/>
      <c r="FQ36" s="310"/>
      <c r="FR36" s="310"/>
      <c r="FS36" s="242"/>
      <c r="FT36" s="242"/>
      <c r="FU36" s="242"/>
      <c r="FV36" s="242"/>
      <c r="FW36" s="242"/>
      <c r="FX36" s="242"/>
      <c r="FY36" s="242"/>
      <c r="FZ36" s="242"/>
      <c r="GA36" s="242"/>
      <c r="GB36" s="242"/>
      <c r="GC36" s="310"/>
      <c r="GD36" s="310"/>
      <c r="GE36" s="310"/>
      <c r="GF36" s="310"/>
      <c r="GG36" s="310"/>
      <c r="GH36" s="310"/>
      <c r="GI36" s="310"/>
      <c r="GJ36" s="310"/>
      <c r="GK36" s="310"/>
      <c r="GL36" s="310"/>
      <c r="GM36" s="310"/>
      <c r="GN36" s="310"/>
      <c r="GO36" s="310"/>
      <c r="GP36" s="310"/>
      <c r="GQ36" s="310"/>
      <c r="GR36" s="310"/>
      <c r="GS36" s="310"/>
      <c r="GT36" s="890"/>
      <c r="GU36" s="412"/>
      <c r="GV36" s="242"/>
      <c r="GW36" s="1998"/>
      <c r="GX36" s="1998"/>
      <c r="GY36" s="1998"/>
      <c r="GZ36" s="1998"/>
      <c r="HA36" s="1998"/>
      <c r="HB36" s="1998"/>
      <c r="HC36" s="1998"/>
      <c r="HD36" s="1998"/>
      <c r="HE36" s="1998"/>
      <c r="HF36" s="1998"/>
      <c r="HG36" s="413"/>
      <c r="HH36" s="413"/>
      <c r="HJ36" s="928"/>
      <c r="HK36" s="413"/>
      <c r="HL36" s="928"/>
      <c r="HM36" s="413"/>
      <c r="HN36" s="928"/>
      <c r="HO36" s="2019"/>
      <c r="HP36" s="1999"/>
      <c r="HQ36" s="310"/>
      <c r="HR36" s="310"/>
      <c r="HS36" s="310"/>
      <c r="HT36" s="310"/>
      <c r="HU36" s="310"/>
      <c r="HV36" s="310"/>
      <c r="HW36" s="310"/>
      <c r="HX36" s="310"/>
      <c r="HY36" s="310"/>
      <c r="HZ36" s="892"/>
      <c r="IA36" s="412"/>
      <c r="IB36" s="928"/>
      <c r="IC36" s="413"/>
      <c r="ID36" s="928"/>
      <c r="IE36" s="413"/>
      <c r="IF36" s="928"/>
      <c r="IG36" s="2019"/>
      <c r="IH36" s="1150"/>
      <c r="IJ36" s="1678">
        <f t="shared" si="173"/>
        <v>0</v>
      </c>
      <c r="IK36" s="264">
        <f t="shared" si="23"/>
        <v>26</v>
      </c>
      <c r="IL36" s="242"/>
      <c r="IM36" s="242"/>
      <c r="IN36" s="1190" t="str">
        <f t="shared" si="133"/>
        <v>Varav hänförligt till:</v>
      </c>
      <c r="IO36" s="1699"/>
      <c r="IP36" s="1699"/>
      <c r="IQ36" s="1699"/>
      <c r="IR36" s="242"/>
      <c r="IS36" s="242"/>
      <c r="IT36" s="1678">
        <f t="shared" si="174"/>
        <v>0</v>
      </c>
      <c r="IU36" s="264">
        <f t="shared" si="24"/>
        <v>26</v>
      </c>
      <c r="IV36" s="242"/>
      <c r="IW36" s="242"/>
      <c r="IX36" s="1723" t="s">
        <v>337</v>
      </c>
      <c r="IY36" s="1190"/>
      <c r="IZ36" s="1239"/>
      <c r="JA36" s="1699"/>
      <c r="JB36" s="1239"/>
      <c r="JC36" s="242"/>
      <c r="JD36" s="242"/>
      <c r="JE36" s="242"/>
      <c r="JF36" s="1873" t="str">
        <f t="shared" si="135"/>
        <v>Varav hänförligt till:</v>
      </c>
      <c r="JG36" s="1765"/>
      <c r="JH36" s="1766"/>
      <c r="JI36" s="1765"/>
      <c r="JJ36" s="242"/>
      <c r="JK36" s="242"/>
      <c r="JL36" s="242"/>
      <c r="JM36" s="2308" t="s">
        <v>338</v>
      </c>
      <c r="JN36" s="1968"/>
      <c r="JO36" s="1969"/>
      <c r="JP36" s="1968"/>
      <c r="JQ36" s="242"/>
    </row>
    <row r="37" spans="2:277" s="269" customFormat="1" outlineLevel="1" x14ac:dyDescent="0.2">
      <c r="B37" s="264">
        <f t="shared" si="27"/>
        <v>28</v>
      </c>
      <c r="D37" s="278" t="str">
        <f>+[2]rapkvart!$B29</f>
        <v>Moderbolagets ägare</v>
      </c>
      <c r="E37" s="278"/>
      <c r="G37" s="1081">
        <f>[2]rapkvart!S29</f>
        <v>25.400000000000041</v>
      </c>
      <c r="H37" s="1081">
        <f>[2]rapkvart!T29</f>
        <v>64.800000000000111</v>
      </c>
      <c r="I37" s="1081">
        <f>[2]rapkvart!U29</f>
        <v>81.499999999999901</v>
      </c>
      <c r="J37" s="1081">
        <f>[2]rapkvart!V29</f>
        <v>93.700000000000145</v>
      </c>
      <c r="K37" s="1081">
        <f>[2]rapkvart!O29</f>
        <v>41.800000000000061</v>
      </c>
      <c r="L37" s="1081">
        <f>[2]rapkvart!P29</f>
        <v>58.499999999999915</v>
      </c>
      <c r="M37" s="1081">
        <f>[2]rapkvart!Q29</f>
        <v>75.40000000000002</v>
      </c>
      <c r="N37" s="1081">
        <f>[2]rapkvart!R29</f>
        <v>73.500000000000114</v>
      </c>
      <c r="O37" s="1081">
        <f>[2]rapkvart!K29</f>
        <v>32.899999999999984</v>
      </c>
      <c r="P37" s="1081">
        <f>[2]rapkvart!L29</f>
        <v>101.40000000000005</v>
      </c>
      <c r="Q37" s="1081">
        <f>[2]rapkvart!M29</f>
        <v>75.40000000000002</v>
      </c>
      <c r="R37" s="1081">
        <f>[2]rapkvart!N29</f>
        <v>73.500000000000114</v>
      </c>
      <c r="S37" s="1084"/>
      <c r="T37" s="1073">
        <f>[2]rapkvart!AE29</f>
        <v>25.400000000000041</v>
      </c>
      <c r="U37" s="1073">
        <f>[2]rapkvart!AF29</f>
        <v>39.40000000000007</v>
      </c>
      <c r="V37" s="1073">
        <f>[2]rapkvart!AG29</f>
        <v>16.69999999999979</v>
      </c>
      <c r="W37" s="1073">
        <f>[2]rapkvart!AH29</f>
        <v>12.200000000000244</v>
      </c>
      <c r="X37" s="1073">
        <f>[2]rapkvart!AA29</f>
        <v>41.800000000000061</v>
      </c>
      <c r="Y37" s="1073">
        <f>[2]rapkvart!AB29</f>
        <v>16.699999999999854</v>
      </c>
      <c r="Z37" s="1073">
        <f>[2]rapkvart!AC29</f>
        <v>16.900000000000105</v>
      </c>
      <c r="AA37" s="1073">
        <f>[2]rapkvart!AD29</f>
        <v>-1.8999999999999062</v>
      </c>
      <c r="AB37" s="1073">
        <f>[2]rapkvart!W29</f>
        <v>32.899999999999984</v>
      </c>
      <c r="AC37" s="1073">
        <f>[2]rapkvart!X29</f>
        <v>68.500000000000057</v>
      </c>
      <c r="AD37" s="1073">
        <f>[2]rapkvart!Y29</f>
        <v>-26.000000000000028</v>
      </c>
      <c r="AE37" s="1073">
        <f>[2]rapkvart!Z29</f>
        <v>-1.8999999999999062</v>
      </c>
      <c r="AF37" s="315"/>
      <c r="AG37" s="315"/>
      <c r="AH37" s="315"/>
      <c r="AI37" s="315"/>
      <c r="AJ37" s="315"/>
      <c r="AK37" s="315"/>
      <c r="AL37" s="315"/>
      <c r="AM37" s="315"/>
      <c r="AN37" s="315"/>
      <c r="AO37" s="315"/>
      <c r="AP37" s="315"/>
      <c r="AQ37" s="315"/>
      <c r="AR37" s="315"/>
      <c r="AS37" s="315"/>
      <c r="AT37" s="315"/>
      <c r="AU37" s="367"/>
      <c r="AV37" s="1871" t="str">
        <f t="shared" si="28"/>
        <v>Moderbolagets ägare</v>
      </c>
      <c r="AW37" s="1872"/>
      <c r="AX37" s="1232">
        <f>$AC37</f>
        <v>68.500000000000057</v>
      </c>
      <c r="AY37" s="1233">
        <f>$Y37</f>
        <v>16.699999999999854</v>
      </c>
      <c r="AZ37" s="1232">
        <f>P37</f>
        <v>101.40000000000005</v>
      </c>
      <c r="BA37" s="1233">
        <f>L37</f>
        <v>58.499999999999915</v>
      </c>
      <c r="BB37" s="1232">
        <f>SUM(Z37:AC37)</f>
        <v>116.40000000000023</v>
      </c>
      <c r="BC37" s="1233">
        <f>N37</f>
        <v>73.500000000000114</v>
      </c>
      <c r="BD37" s="367"/>
      <c r="BE37" s="1871" t="s">
        <v>339</v>
      </c>
      <c r="BF37" s="1233"/>
      <c r="BG37" s="1232">
        <f t="shared" ref="BG37:BL38" si="262">AX37</f>
        <v>68.500000000000057</v>
      </c>
      <c r="BH37" s="1233">
        <f t="shared" si="262"/>
        <v>16.699999999999854</v>
      </c>
      <c r="BI37" s="1232">
        <f t="shared" si="262"/>
        <v>101.40000000000005</v>
      </c>
      <c r="BJ37" s="1233">
        <f t="shared" si="262"/>
        <v>58.499999999999915</v>
      </c>
      <c r="BK37" s="1232">
        <f t="shared" si="262"/>
        <v>116.40000000000023</v>
      </c>
      <c r="BL37" s="1233">
        <f t="shared" si="262"/>
        <v>73.500000000000114</v>
      </c>
      <c r="BN37" s="242"/>
      <c r="BP37" s="320" t="str">
        <f t="shared" si="119"/>
        <v>Moderbolagets ägare</v>
      </c>
      <c r="BQ37" s="321"/>
      <c r="BR37" s="320"/>
      <c r="BS37" s="320"/>
      <c r="BT37" s="320"/>
      <c r="BU37" s="320"/>
      <c r="BV37" s="320"/>
      <c r="BW37" s="320"/>
      <c r="BX37" s="320"/>
      <c r="BY37" s="320"/>
      <c r="BZ37" s="320"/>
      <c r="CA37" s="320"/>
      <c r="CB37" s="320"/>
      <c r="CD37" s="315"/>
      <c r="CE37" s="1288">
        <f t="shared" si="171"/>
        <v>0</v>
      </c>
      <c r="CF37" s="281">
        <f t="shared" si="36"/>
        <v>27</v>
      </c>
      <c r="CH37" s="2130"/>
      <c r="CI37" s="2125" t="s">
        <v>340</v>
      </c>
      <c r="CJ37" s="2125"/>
      <c r="CK37" s="2126">
        <f>CK35-CK38</f>
        <v>6.8971850000000128</v>
      </c>
      <c r="CL37" s="2126">
        <f t="shared" ref="CL37:CV37" si="263">CL35-CL38</f>
        <v>21.39678500000004</v>
      </c>
      <c r="CM37" s="2126">
        <f t="shared" si="263"/>
        <v>-1.7280150000001426</v>
      </c>
      <c r="CN37" s="2126">
        <f t="shared" si="263"/>
        <v>-1.5900149999998172</v>
      </c>
      <c r="CO37" s="2126">
        <f t="shared" si="263"/>
        <v>22.867350000000048</v>
      </c>
      <c r="CP37" s="2126">
        <f t="shared" si="263"/>
        <v>-0.30425000000016089</v>
      </c>
      <c r="CQ37" s="2126">
        <f t="shared" si="263"/>
        <v>-5.2768499999999356</v>
      </c>
      <c r="CR37" s="2126">
        <f t="shared" si="263"/>
        <v>-19.097049999999911</v>
      </c>
      <c r="CS37" s="2126">
        <f t="shared" si="263"/>
        <v>14.24409025199998</v>
      </c>
      <c r="CT37" s="2126">
        <f t="shared" si="263"/>
        <v>47.73604766400009</v>
      </c>
      <c r="CU37" s="2126">
        <f t="shared" si="263"/>
        <v>-25.113000000000039</v>
      </c>
      <c r="CV37" s="2126">
        <f t="shared" si="263"/>
        <v>1.2776000000000778</v>
      </c>
      <c r="CW37" s="2129"/>
      <c r="CX37" s="1008"/>
      <c r="CY37" s="1008"/>
      <c r="CZ37" s="1008"/>
      <c r="DA37" s="1008"/>
      <c r="DB37" s="1008"/>
      <c r="DC37" s="1008"/>
      <c r="DD37" s="1008"/>
      <c r="DE37" s="1008"/>
      <c r="DF37" s="1008"/>
      <c r="DG37" s="1008"/>
      <c r="DH37" s="1008"/>
      <c r="DI37" s="1008"/>
      <c r="DJ37" s="244"/>
      <c r="DK37" s="1642" t="str">
        <f t="shared" si="73"/>
        <v>Moderbolagets ägare</v>
      </c>
      <c r="DL37" s="1625">
        <f t="shared" si="38"/>
        <v>-18.502815000000027</v>
      </c>
      <c r="DM37" s="1625">
        <f t="shared" si="39"/>
        <v>-18.003215000000029</v>
      </c>
      <c r="DN37" s="1625">
        <f t="shared" si="40"/>
        <v>-18.428014999999931</v>
      </c>
      <c r="DO37" s="1625">
        <f t="shared" si="41"/>
        <v>-13.790015000000061</v>
      </c>
      <c r="DP37" s="1625">
        <f t="shared" si="42"/>
        <v>-18.932650000000013</v>
      </c>
      <c r="DQ37" s="1625">
        <f t="shared" si="43"/>
        <v>-17.004250000000013</v>
      </c>
      <c r="DR37" s="1625">
        <f t="shared" si="44"/>
        <v>-22.176850000000041</v>
      </c>
      <c r="DS37" s="1625">
        <f t="shared" si="45"/>
        <v>-17.197050000000004</v>
      </c>
      <c r="DT37" s="1625">
        <f t="shared" si="46"/>
        <v>-18.655909748000006</v>
      </c>
      <c r="DU37" s="1661">
        <f t="shared" si="47"/>
        <v>-20.763952335999967</v>
      </c>
      <c r="DV37" s="1625">
        <f t="shared" si="48"/>
        <v>0.8869999999999898</v>
      </c>
      <c r="DW37" s="1625">
        <f t="shared" si="49"/>
        <v>3.177599999999984</v>
      </c>
      <c r="DX37" s="1592"/>
      <c r="DY37" s="1982" t="str">
        <f t="shared" si="121"/>
        <v>Moderbolagets ägare</v>
      </c>
      <c r="DZ37" s="1874"/>
      <c r="EA37" s="1232">
        <f t="shared" ref="EA37" si="264">EA35-EA38</f>
        <v>47.73604766400009</v>
      </c>
      <c r="EB37" s="1233">
        <f t="shared" ref="EB37" si="265">EB35-EB38</f>
        <v>-0.30425000000016089</v>
      </c>
      <c r="EC37" s="1232">
        <f t="shared" ref="EC37" si="266">EC35-EC38</f>
        <v>61.980137916000061</v>
      </c>
      <c r="ED37" s="1233">
        <f t="shared" ref="ED37" si="267">ED35-ED38</f>
        <v>22.563099999999888</v>
      </c>
      <c r="EE37" s="1232">
        <f t="shared" ref="EE37" si="268">EE35-EE38</f>
        <v>37.606237916000225</v>
      </c>
      <c r="EF37" s="1233">
        <f t="shared" ref="EF37" si="269">EF35-EF38</f>
        <v>-1.8107999999999604</v>
      </c>
      <c r="EG37" s="2130"/>
      <c r="EH37" s="242"/>
      <c r="EI37" s="242"/>
      <c r="EK37" s="1871" t="s">
        <v>339</v>
      </c>
      <c r="EL37" s="1872"/>
      <c r="EM37" s="1232">
        <f t="shared" si="74"/>
        <v>47.73604766400009</v>
      </c>
      <c r="EN37" s="1233">
        <f t="shared" si="75"/>
        <v>-0.30425000000016089</v>
      </c>
      <c r="EO37" s="1232">
        <f t="shared" si="76"/>
        <v>61.980137916000061</v>
      </c>
      <c r="EP37" s="1233">
        <f t="shared" si="77"/>
        <v>22.563099999999888</v>
      </c>
      <c r="EQ37" s="1232">
        <f t="shared" si="78"/>
        <v>37.606237916000225</v>
      </c>
      <c r="ER37" s="1233">
        <f t="shared" si="79"/>
        <v>-1.8107999999999604</v>
      </c>
      <c r="ET37" s="242"/>
      <c r="EU37" s="242"/>
      <c r="EV37" s="242"/>
      <c r="EW37" s="907" t="str">
        <f t="shared" si="254"/>
        <v>Resultat per aktie från kvarvarande verksamhet (efter skatt), kr (ingen utspädning finns)</v>
      </c>
      <c r="EX37" s="908">
        <f t="shared" ref="EX37:FC37" si="270">HJ75</f>
        <v>9.3390998783619494</v>
      </c>
      <c r="EY37" s="909">
        <f t="shared" si="270"/>
        <v>3.2707122584132793</v>
      </c>
      <c r="EZ37" s="908">
        <f t="shared" si="270"/>
        <v>14.164076226517105</v>
      </c>
      <c r="FA37" s="909">
        <f t="shared" si="270"/>
        <v>9.2850385187187392</v>
      </c>
      <c r="FB37" s="2032">
        <f t="shared" si="270"/>
        <v>19.15123665360187</v>
      </c>
      <c r="FC37" s="908">
        <f t="shared" si="270"/>
        <v>14.272198945803508</v>
      </c>
      <c r="FD37" s="310"/>
      <c r="FE37" s="310"/>
      <c r="FF37" s="907" t="str">
        <f t="shared" si="247"/>
        <v>Earnings per share, kr</v>
      </c>
      <c r="FG37" s="908">
        <f t="shared" si="248"/>
        <v>9.2580078388971589</v>
      </c>
      <c r="FH37" s="909">
        <f t="shared" si="248"/>
        <v>2.2570617651033733</v>
      </c>
      <c r="FI37" s="908">
        <f t="shared" si="248"/>
        <v>13.704554669549948</v>
      </c>
      <c r="FJ37" s="909">
        <f t="shared" si="248"/>
        <v>7.9064738478172671</v>
      </c>
      <c r="FK37" s="2032">
        <f t="shared" si="248"/>
        <v>15.731855656169786</v>
      </c>
      <c r="FL37" s="908">
        <f t="shared" si="248"/>
        <v>9.9337748344371057</v>
      </c>
      <c r="FM37" s="310"/>
      <c r="FN37" s="310"/>
      <c r="FO37" s="310"/>
      <c r="FP37" s="310"/>
      <c r="FQ37" s="310"/>
      <c r="FR37" s="310"/>
      <c r="FS37" s="242"/>
      <c r="FT37" s="242"/>
      <c r="FU37" s="242"/>
      <c r="FV37" s="242"/>
      <c r="FW37" s="242"/>
      <c r="FX37" s="242"/>
      <c r="FY37" s="242"/>
      <c r="FZ37" s="242"/>
      <c r="GA37" s="242"/>
      <c r="GB37" s="242"/>
      <c r="GC37" s="310"/>
      <c r="GD37" s="310"/>
      <c r="GE37" s="310"/>
      <c r="GF37" s="310"/>
      <c r="GG37" s="310"/>
      <c r="GH37" s="310"/>
      <c r="GI37" s="310"/>
      <c r="GJ37" s="310"/>
      <c r="GK37" s="310"/>
      <c r="GL37" s="310"/>
      <c r="GM37" s="310"/>
      <c r="GN37" s="310"/>
      <c r="GO37" s="310"/>
      <c r="GP37" s="310"/>
      <c r="GQ37" s="310"/>
      <c r="GR37" s="310"/>
      <c r="GS37" s="310"/>
      <c r="GT37" s="890"/>
      <c r="GU37" s="412" t="s">
        <v>278</v>
      </c>
      <c r="GV37" s="242"/>
      <c r="GW37" s="1993" t="str">
        <f t="shared" ref="GW37:HH37" si="271">IFERROR(GW162,"N/A")</f>
        <v>N/A</v>
      </c>
      <c r="GX37" s="1993" t="str">
        <f t="shared" si="271"/>
        <v>N/A</v>
      </c>
      <c r="GY37" s="1993" t="str">
        <f t="shared" si="271"/>
        <v>N/A</v>
      </c>
      <c r="GZ37" s="1993" t="str">
        <f t="shared" si="271"/>
        <v>N/A</v>
      </c>
      <c r="HA37" s="1993">
        <f t="shared" si="271"/>
        <v>6.7740880366165643E-2</v>
      </c>
      <c r="HB37" s="1993">
        <f t="shared" si="271"/>
        <v>3.5678265332074896E-2</v>
      </c>
      <c r="HC37" s="1993">
        <f t="shared" si="271"/>
        <v>1.9524939259627012E-2</v>
      </c>
      <c r="HD37" s="1993">
        <f t="shared" si="271"/>
        <v>1.9168760931301643E-3</v>
      </c>
      <c r="HE37" s="1993">
        <f t="shared" si="271"/>
        <v>4.1299332742435649E-2</v>
      </c>
      <c r="HF37" s="1993">
        <f t="shared" si="271"/>
        <v>8.43039798972475E-2</v>
      </c>
      <c r="HG37" s="1993">
        <f t="shared" si="271"/>
        <v>7.1288737396234675E-2</v>
      </c>
      <c r="HH37" s="1993">
        <f t="shared" si="271"/>
        <v>5.519571702459037E-2</v>
      </c>
      <c r="HI37" s="2316"/>
      <c r="HJ37" s="2065">
        <f t="shared" ref="HJ37:HO37" si="272">HJ162</f>
        <v>0.12784667109893286</v>
      </c>
      <c r="HK37" s="2068">
        <f t="shared" si="272"/>
        <v>3.0172693623576156E-3</v>
      </c>
      <c r="HL37" s="2065">
        <f t="shared" si="272"/>
        <v>8.43039798972475E-2</v>
      </c>
      <c r="HM37" s="2068">
        <f t="shared" si="272"/>
        <v>3.5678265332074896E-2</v>
      </c>
      <c r="HN37" s="2065">
        <f t="shared" si="272"/>
        <v>2.7544781234643826E-2</v>
      </c>
      <c r="HO37" s="2069">
        <f t="shared" si="272"/>
        <v>1.9168760931301643E-3</v>
      </c>
      <c r="HP37" s="1999"/>
      <c r="HQ37" s="310"/>
      <c r="HR37" s="310"/>
      <c r="HS37" s="310"/>
      <c r="HT37" s="310"/>
      <c r="HU37" s="310"/>
      <c r="HV37" s="310"/>
      <c r="HW37" s="310"/>
      <c r="HX37" s="310"/>
      <c r="HY37" s="310"/>
      <c r="HZ37" s="892"/>
      <c r="IA37" s="412" t="s">
        <v>918</v>
      </c>
      <c r="IB37" s="2065">
        <f t="shared" ref="IB37:IG38" si="273">HJ37</f>
        <v>0.12784667109893286</v>
      </c>
      <c r="IC37" s="2068">
        <f t="shared" si="273"/>
        <v>3.0172693623576156E-3</v>
      </c>
      <c r="ID37" s="2065">
        <f t="shared" si="273"/>
        <v>8.43039798972475E-2</v>
      </c>
      <c r="IE37" s="2068">
        <f t="shared" si="273"/>
        <v>3.5678265332074896E-2</v>
      </c>
      <c r="IF37" s="2065">
        <f t="shared" si="273"/>
        <v>2.7544781234643826E-2</v>
      </c>
      <c r="IG37" s="2069">
        <f t="shared" si="273"/>
        <v>1.9168760931301643E-3</v>
      </c>
      <c r="IH37" s="1220"/>
      <c r="IJ37" s="1678">
        <f t="shared" si="173"/>
        <v>0</v>
      </c>
      <c r="IK37" s="264">
        <f t="shared" si="23"/>
        <v>27</v>
      </c>
      <c r="IL37" s="242"/>
      <c r="IM37" s="242"/>
      <c r="IN37" s="1190" t="str">
        <f t="shared" si="133"/>
        <v>Moderbolagets ägare</v>
      </c>
      <c r="IO37" s="1699"/>
      <c r="IP37" s="1699"/>
      <c r="IQ37" s="1699"/>
      <c r="IR37" s="242"/>
      <c r="IS37" s="242"/>
      <c r="IT37" s="1678">
        <f t="shared" si="174"/>
        <v>0</v>
      </c>
      <c r="IU37" s="264">
        <f t="shared" si="24"/>
        <v>27</v>
      </c>
      <c r="IV37" s="242"/>
      <c r="IW37" s="242"/>
      <c r="IX37" s="1723" t="s">
        <v>340</v>
      </c>
      <c r="IY37" s="1190"/>
      <c r="IZ37" s="1239">
        <f>AX37</f>
        <v>68.500000000000057</v>
      </c>
      <c r="JA37" s="1699">
        <f t="shared" si="86"/>
        <v>-20.763952335999967</v>
      </c>
      <c r="JB37" s="1239">
        <f>SUM(EA37)</f>
        <v>47.73604766400009</v>
      </c>
      <c r="JC37" s="242"/>
      <c r="JD37" s="242"/>
      <c r="JE37" s="242"/>
      <c r="JF37" s="1871" t="str">
        <f t="shared" si="135"/>
        <v>Moderbolagets ägare</v>
      </c>
      <c r="JG37" s="1232">
        <f>IZ37</f>
        <v>68.500000000000057</v>
      </c>
      <c r="JH37" s="1242">
        <f t="shared" ref="JH37:JI38" si="274">JA37</f>
        <v>-20.763952335999967</v>
      </c>
      <c r="JI37" s="1232">
        <f t="shared" si="274"/>
        <v>47.73604766400009</v>
      </c>
      <c r="JJ37" s="242"/>
      <c r="JK37" s="242"/>
      <c r="JL37" s="242"/>
      <c r="JM37" s="1982" t="s">
        <v>339</v>
      </c>
      <c r="JN37" s="1984">
        <f t="shared" si="87"/>
        <v>68.500000000000057</v>
      </c>
      <c r="JO37" s="2054">
        <f t="shared" si="148"/>
        <v>-20.763952335999967</v>
      </c>
      <c r="JP37" s="1984">
        <f t="shared" si="88"/>
        <v>47.73604766400009</v>
      </c>
      <c r="JQ37" s="242"/>
    </row>
    <row r="38" spans="2:277" s="269" customFormat="1" ht="11.25" customHeight="1" outlineLevel="1" x14ac:dyDescent="0.2">
      <c r="B38" s="264">
        <f t="shared" si="27"/>
        <v>29</v>
      </c>
      <c r="D38" s="288" t="str">
        <f>+[2]rapkvart!$B30</f>
        <v>Innehav utan bestämmande inflytande</v>
      </c>
      <c r="E38" s="288"/>
      <c r="G38" s="1081">
        <f>[2]rapkvart!S30</f>
        <v>2.1</v>
      </c>
      <c r="H38" s="1081">
        <f>[2]rapkvart!T30</f>
        <v>4.3</v>
      </c>
      <c r="I38" s="1081">
        <f>[2]rapkvart!U30</f>
        <v>6.4</v>
      </c>
      <c r="J38" s="1081">
        <f>[2]rapkvart!V30</f>
        <v>6.4</v>
      </c>
      <c r="K38" s="1081">
        <f>[2]rapkvart!O30</f>
        <v>1.6</v>
      </c>
      <c r="L38" s="1081">
        <f>[2]rapkvart!P30</f>
        <v>3</v>
      </c>
      <c r="M38" s="1081">
        <f>[2]rapkvart!Q30</f>
        <v>3.8</v>
      </c>
      <c r="N38" s="1081">
        <f>[2]rapkvart!R30</f>
        <v>4.5999999999999996</v>
      </c>
      <c r="O38" s="1081">
        <f>[2]rapkvart!K30</f>
        <v>1.1000000000000001</v>
      </c>
      <c r="P38" s="1081">
        <f>[2]rapkvart!L30</f>
        <v>2.6</v>
      </c>
      <c r="Q38" s="1081">
        <f>[2]rapkvart!M30</f>
        <v>3.8</v>
      </c>
      <c r="R38" s="1081">
        <f>[2]rapkvart!N30</f>
        <v>4.5999999999999996</v>
      </c>
      <c r="S38" s="1072"/>
      <c r="T38" s="1073">
        <f>[2]rapkvart!AE30</f>
        <v>2.1</v>
      </c>
      <c r="U38" s="1073">
        <f>[2]rapkvart!AF30</f>
        <v>2.1999999999999997</v>
      </c>
      <c r="V38" s="1073">
        <f>[2]rapkvart!AG30</f>
        <v>2.1000000000000005</v>
      </c>
      <c r="W38" s="1073">
        <f>[2]rapkvart!AH30</f>
        <v>0</v>
      </c>
      <c r="X38" s="1073">
        <f>[2]rapkvart!AA30</f>
        <v>1.6</v>
      </c>
      <c r="Y38" s="1073">
        <f>[2]rapkvart!AB30</f>
        <v>1.4</v>
      </c>
      <c r="Z38" s="1073">
        <f>[2]rapkvart!AC30</f>
        <v>0.79999999999999982</v>
      </c>
      <c r="AA38" s="1073">
        <f>[2]rapkvart!AD30</f>
        <v>0.79999999999999982</v>
      </c>
      <c r="AB38" s="1073">
        <f>[2]rapkvart!W30</f>
        <v>1.1000000000000001</v>
      </c>
      <c r="AC38" s="1073">
        <f>[2]rapkvart!X30</f>
        <v>1.5</v>
      </c>
      <c r="AD38" s="1073">
        <f>[2]rapkvart!Y30</f>
        <v>1.1999999999999997</v>
      </c>
      <c r="AE38" s="1073">
        <f>[2]rapkvart!Z30</f>
        <v>0.79999999999999982</v>
      </c>
      <c r="AU38" s="367"/>
      <c r="AV38" s="1982" t="str">
        <f t="shared" si="28"/>
        <v>Innehav utan bestämmande inflytande</v>
      </c>
      <c r="AW38" s="1983"/>
      <c r="AX38" s="1984">
        <f>$AC38</f>
        <v>1.5</v>
      </c>
      <c r="AY38" s="1983">
        <f>$Y38</f>
        <v>1.4</v>
      </c>
      <c r="AZ38" s="1984">
        <f>P38</f>
        <v>2.6</v>
      </c>
      <c r="BA38" s="1983">
        <f>L38</f>
        <v>3</v>
      </c>
      <c r="BB38" s="1984">
        <f>SUM(Z38:AC38)</f>
        <v>4.1999999999999993</v>
      </c>
      <c r="BC38" s="1983">
        <f>N38</f>
        <v>4.5999999999999996</v>
      </c>
      <c r="BD38" s="367"/>
      <c r="BE38" s="1871" t="s">
        <v>345</v>
      </c>
      <c r="BF38" s="1233"/>
      <c r="BG38" s="1232">
        <f t="shared" si="262"/>
        <v>1.5</v>
      </c>
      <c r="BH38" s="1233">
        <f t="shared" si="262"/>
        <v>1.4</v>
      </c>
      <c r="BI38" s="1232">
        <f t="shared" si="262"/>
        <v>2.6</v>
      </c>
      <c r="BJ38" s="1233">
        <f t="shared" si="262"/>
        <v>3</v>
      </c>
      <c r="BK38" s="1232">
        <f t="shared" si="262"/>
        <v>4.1999999999999993</v>
      </c>
      <c r="BL38" s="1233">
        <f t="shared" si="262"/>
        <v>4.5999999999999996</v>
      </c>
      <c r="BN38" s="242"/>
      <c r="BP38" s="354" t="str">
        <f t="shared" si="119"/>
        <v>Innehav utan bestämmande inflytande</v>
      </c>
      <c r="BQ38" s="353"/>
      <c r="BR38" s="354"/>
      <c r="BS38" s="354"/>
      <c r="BT38" s="354"/>
      <c r="BU38" s="354"/>
      <c r="BV38" s="354"/>
      <c r="BW38" s="354"/>
      <c r="BX38" s="354"/>
      <c r="BY38" s="354"/>
      <c r="BZ38" s="354"/>
      <c r="CA38" s="354"/>
      <c r="CB38" s="354"/>
      <c r="CE38" s="1288">
        <f t="shared" si="171"/>
        <v>0</v>
      </c>
      <c r="CF38" s="281">
        <f t="shared" si="36"/>
        <v>28</v>
      </c>
      <c r="CH38" s="2130"/>
      <c r="CI38" s="2127" t="s">
        <v>346</v>
      </c>
      <c r="CJ38" s="2128"/>
      <c r="CK38" s="2140">
        <v>2.077</v>
      </c>
      <c r="CL38" s="2141">
        <v>2.1870000000000003</v>
      </c>
      <c r="CM38" s="2141">
        <v>2.1269999999999998</v>
      </c>
      <c r="CN38" s="2141">
        <v>3.9999999999995595E-3</v>
      </c>
      <c r="CO38" s="2140">
        <v>1.593</v>
      </c>
      <c r="CP38" s="2141">
        <v>1.4060000000000001</v>
      </c>
      <c r="CQ38" s="2141">
        <v>0.84299999999999997</v>
      </c>
      <c r="CR38" s="2141">
        <v>0.74299999999999988</v>
      </c>
      <c r="CS38" s="2140">
        <v>1.103</v>
      </c>
      <c r="CT38" s="2141">
        <v>1.5370000000000001</v>
      </c>
      <c r="CU38" s="2128"/>
      <c r="CV38" s="2128"/>
      <c r="CW38" s="2129"/>
      <c r="CX38" s="1008"/>
      <c r="CY38" s="1008"/>
      <c r="CZ38" s="1008"/>
      <c r="DA38" s="1008"/>
      <c r="DB38" s="1008"/>
      <c r="DC38" s="1008"/>
      <c r="DD38" s="1008"/>
      <c r="DE38" s="1008"/>
      <c r="DF38" s="1008"/>
      <c r="DG38" s="1008"/>
      <c r="DH38" s="1008"/>
      <c r="DI38" s="1008"/>
      <c r="DJ38" s="244"/>
      <c r="DK38" s="1643" t="str">
        <f t="shared" si="73"/>
        <v>Innehav utan bestämmande inflytande</v>
      </c>
      <c r="DL38" s="1616">
        <f t="shared" si="38"/>
        <v>-2.3000000000000131E-2</v>
      </c>
      <c r="DM38" s="1616">
        <f t="shared" si="39"/>
        <v>-1.2999999999999456E-2</v>
      </c>
      <c r="DN38" s="1616">
        <f t="shared" si="40"/>
        <v>2.6999999999999247E-2</v>
      </c>
      <c r="DO38" s="1616">
        <f t="shared" si="41"/>
        <v>3.9999999999995595E-3</v>
      </c>
      <c r="DP38" s="1616">
        <f t="shared" si="42"/>
        <v>-7.0000000000001172E-3</v>
      </c>
      <c r="DQ38" s="1616">
        <f t="shared" si="43"/>
        <v>6.0000000000002274E-3</v>
      </c>
      <c r="DR38" s="1616">
        <f t="shared" si="44"/>
        <v>4.3000000000000149E-2</v>
      </c>
      <c r="DS38" s="1616">
        <f t="shared" si="45"/>
        <v>-5.699999999999994E-2</v>
      </c>
      <c r="DT38" s="1616">
        <f t="shared" si="46"/>
        <v>2.9999999999998916E-3</v>
      </c>
      <c r="DU38" s="1649">
        <f t="shared" si="47"/>
        <v>3.7000000000000144E-2</v>
      </c>
      <c r="DV38" s="1616">
        <f t="shared" si="48"/>
        <v>-1.1999999999999997</v>
      </c>
      <c r="DW38" s="1616">
        <f t="shared" si="49"/>
        <v>-0.79999999999999982</v>
      </c>
      <c r="DX38" s="1592"/>
      <c r="DY38" s="1982" t="str">
        <f t="shared" si="121"/>
        <v>Innehav utan bestämmande inflytande</v>
      </c>
      <c r="DZ38" s="1983"/>
      <c r="EA38" s="1232">
        <f t="shared" ref="EA38" si="275">SUM(CT38)</f>
        <v>1.5370000000000001</v>
      </c>
      <c r="EB38" s="1233">
        <f t="shared" ref="EB38" si="276">SUM(CP38)</f>
        <v>1.4060000000000001</v>
      </c>
      <c r="EC38" s="1232">
        <f t="shared" ref="EC38" si="277">SUM(CS38:CT38)</f>
        <v>2.64</v>
      </c>
      <c r="ED38" s="1233">
        <f t="shared" ref="ED38" si="278">SUM(CO38:CP38)</f>
        <v>2.9990000000000001</v>
      </c>
      <c r="EE38" s="1232">
        <f t="shared" ref="EE38" si="279">SUM(CQ38:CT38)</f>
        <v>4.226</v>
      </c>
      <c r="EF38" s="1233">
        <f t="shared" ref="EF38" si="280">SUM(CO38:CR38)</f>
        <v>4.585</v>
      </c>
      <c r="EG38" s="2130"/>
      <c r="EH38" s="242"/>
      <c r="EI38" s="242"/>
      <c r="EK38" s="1190" t="s">
        <v>347</v>
      </c>
      <c r="EL38" s="1668"/>
      <c r="EM38" s="1239">
        <f t="shared" si="74"/>
        <v>1.5370000000000001</v>
      </c>
      <c r="EN38" s="1240">
        <f t="shared" si="75"/>
        <v>1.4060000000000001</v>
      </c>
      <c r="EO38" s="1239">
        <f t="shared" si="76"/>
        <v>2.64</v>
      </c>
      <c r="EP38" s="1240">
        <f t="shared" si="77"/>
        <v>2.9990000000000001</v>
      </c>
      <c r="EQ38" s="1239">
        <f t="shared" si="78"/>
        <v>4.226</v>
      </c>
      <c r="ER38" s="1240">
        <f t="shared" si="79"/>
        <v>4.585</v>
      </c>
      <c r="ET38" s="242"/>
      <c r="EU38" s="242"/>
      <c r="EV38" s="242"/>
      <c r="EW38" s="907" t="str">
        <f t="shared" si="254"/>
        <v>Periodens resultat per aktie (efter skatt), kr (ingen utspädning finns)</v>
      </c>
      <c r="EX38" s="908">
        <f t="shared" ref="EX38:FC38" si="281">HJ77</f>
        <v>9.2580078388971589</v>
      </c>
      <c r="EY38" s="909">
        <f t="shared" si="281"/>
        <v>2.2570617651033733</v>
      </c>
      <c r="EZ38" s="908">
        <f t="shared" si="281"/>
        <v>13.704554669549948</v>
      </c>
      <c r="FA38" s="909">
        <f t="shared" si="281"/>
        <v>7.9064738478172671</v>
      </c>
      <c r="FB38" s="2032">
        <f t="shared" si="281"/>
        <v>15.731855656169786</v>
      </c>
      <c r="FC38" s="908">
        <f t="shared" si="281"/>
        <v>9.9337748344371057</v>
      </c>
      <c r="FD38" s="310"/>
      <c r="FE38" s="310"/>
      <c r="FF38" s="919" t="str">
        <f t="shared" si="247"/>
        <v>Return on Equity (after tax) based on Net Income for the period (after tax), %</v>
      </c>
      <c r="FG38" s="911">
        <f t="shared" si="248"/>
        <v>0.36297640653357571</v>
      </c>
      <c r="FH38" s="912">
        <f t="shared" si="248"/>
        <v>0.10204369274136635</v>
      </c>
      <c r="FI38" s="911">
        <f t="shared" si="248"/>
        <v>0.27363020456488862</v>
      </c>
      <c r="FJ38" s="912">
        <f t="shared" si="248"/>
        <v>0.17940490081680258</v>
      </c>
      <c r="FK38" s="912">
        <f t="shared" si="248"/>
        <v>0.16054313099041562</v>
      </c>
      <c r="FL38" s="911">
        <f t="shared" si="248"/>
        <v>0.11244690806997353</v>
      </c>
      <c r="FM38" s="310"/>
      <c r="FN38" s="310"/>
      <c r="FO38" s="310"/>
      <c r="FP38" s="310"/>
      <c r="FQ38" s="310"/>
      <c r="FR38" s="310"/>
      <c r="FS38" s="242"/>
      <c r="FT38" s="242"/>
      <c r="FU38" s="242"/>
      <c r="FV38" s="242"/>
      <c r="FW38" s="242"/>
      <c r="FX38" s="242"/>
      <c r="FY38" s="242"/>
      <c r="FZ38" s="242"/>
      <c r="GA38" s="242"/>
      <c r="GB38" s="242"/>
      <c r="GC38" s="310"/>
      <c r="GD38" s="310"/>
      <c r="GE38" s="310"/>
      <c r="GF38" s="310"/>
      <c r="GG38" s="310"/>
      <c r="GH38" s="310"/>
      <c r="GI38" s="310"/>
      <c r="GJ38" s="310"/>
      <c r="GK38" s="310"/>
      <c r="GL38" s="310"/>
      <c r="GM38" s="310"/>
      <c r="GN38" s="310"/>
      <c r="GO38" s="310"/>
      <c r="GP38" s="310"/>
      <c r="GQ38" s="310"/>
      <c r="GR38" s="310"/>
      <c r="GS38" s="310"/>
      <c r="GT38" s="890"/>
      <c r="GU38" s="412" t="s">
        <v>343</v>
      </c>
      <c r="GV38" s="242"/>
      <c r="GW38" s="1993" t="str">
        <f t="shared" ref="GW38:HH38" si="282">IFERROR(GW141,"N/A")</f>
        <v>N/A</v>
      </c>
      <c r="GX38" s="1993" t="str">
        <f t="shared" si="282"/>
        <v>N/A</v>
      </c>
      <c r="GY38" s="1993" t="str">
        <f t="shared" si="282"/>
        <v>N/A</v>
      </c>
      <c r="GZ38" s="1993" t="str">
        <f t="shared" si="282"/>
        <v>N/A</v>
      </c>
      <c r="HA38" s="1993">
        <f t="shared" si="282"/>
        <v>9.1454342373675307E-2</v>
      </c>
      <c r="HB38" s="1993">
        <f t="shared" si="282"/>
        <v>6.10397977562347E-2</v>
      </c>
      <c r="HC38" s="1993">
        <f t="shared" si="282"/>
        <v>4.2964667713249631E-2</v>
      </c>
      <c r="HD38" s="1993">
        <f t="shared" si="282"/>
        <v>3.113027095486216E-2</v>
      </c>
      <c r="HE38" s="1993">
        <f t="shared" si="282"/>
        <v>5.8695665741583837E-2</v>
      </c>
      <c r="HF38" s="1993">
        <f t="shared" si="282"/>
        <v>0.10568452971351758</v>
      </c>
      <c r="HG38" s="1993" t="str">
        <f t="shared" si="282"/>
        <v>N/A</v>
      </c>
      <c r="HH38" s="1993" t="str">
        <f t="shared" si="282"/>
        <v>N/A</v>
      </c>
      <c r="HJ38" s="2065">
        <f t="shared" ref="HJ38:HO38" si="283">HJ141</f>
        <v>0.15381987195003205</v>
      </c>
      <c r="HK38" s="2068">
        <f t="shared" si="283"/>
        <v>3.0612801098575362E-2</v>
      </c>
      <c r="HL38" s="2065">
        <f t="shared" si="283"/>
        <v>0.10568452971351758</v>
      </c>
      <c r="HM38" s="2068">
        <f t="shared" si="283"/>
        <v>6.10397977562347E-2</v>
      </c>
      <c r="HN38" s="2065">
        <f t="shared" si="283"/>
        <v>5.5906750254244547E-2</v>
      </c>
      <c r="HO38" s="2018">
        <f t="shared" si="283"/>
        <v>3.113027095486216E-2</v>
      </c>
      <c r="HP38" s="1999"/>
      <c r="HQ38" s="310"/>
      <c r="HR38" s="310"/>
      <c r="HS38" s="310"/>
      <c r="HT38" s="310"/>
      <c r="HU38" s="310"/>
      <c r="HV38" s="310"/>
      <c r="HW38" s="310"/>
      <c r="HX38" s="310"/>
      <c r="HY38" s="310"/>
      <c r="HZ38" s="892"/>
      <c r="IA38" s="412" t="s">
        <v>344</v>
      </c>
      <c r="IB38" s="2065">
        <f t="shared" si="273"/>
        <v>0.15381987195003205</v>
      </c>
      <c r="IC38" s="2068">
        <f t="shared" si="273"/>
        <v>3.0612801098575362E-2</v>
      </c>
      <c r="ID38" s="2065">
        <f t="shared" si="273"/>
        <v>0.10568452971351758</v>
      </c>
      <c r="IE38" s="2068">
        <f t="shared" si="273"/>
        <v>6.10397977562347E-2</v>
      </c>
      <c r="IF38" s="2065">
        <f t="shared" si="273"/>
        <v>5.5906750254244547E-2</v>
      </c>
      <c r="IG38" s="2018">
        <f t="shared" si="273"/>
        <v>3.113027095486216E-2</v>
      </c>
      <c r="IH38" s="1220"/>
      <c r="IJ38" s="1678">
        <f t="shared" si="173"/>
        <v>0</v>
      </c>
      <c r="IK38" s="264">
        <f t="shared" si="23"/>
        <v>28</v>
      </c>
      <c r="IL38" s="363"/>
      <c r="IM38" s="363"/>
      <c r="IN38" s="1190" t="str">
        <f t="shared" si="133"/>
        <v>Innehav utan bestämmande inflytande</v>
      </c>
      <c r="IO38" s="1699"/>
      <c r="IP38" s="1699"/>
      <c r="IQ38" s="1699"/>
      <c r="IR38" s="363"/>
      <c r="IS38" s="242"/>
      <c r="IT38" s="1678">
        <f t="shared" si="174"/>
        <v>0</v>
      </c>
      <c r="IU38" s="264">
        <f t="shared" si="24"/>
        <v>28</v>
      </c>
      <c r="IV38" s="242"/>
      <c r="IW38" s="242"/>
      <c r="IX38" s="1723" t="s">
        <v>346</v>
      </c>
      <c r="IY38" s="1190"/>
      <c r="IZ38" s="1239">
        <f>AX38</f>
        <v>1.5</v>
      </c>
      <c r="JA38" s="1699">
        <f t="shared" si="86"/>
        <v>3.7000000000000144E-2</v>
      </c>
      <c r="JB38" s="1239">
        <f>SUM(EA38)</f>
        <v>1.5370000000000001</v>
      </c>
      <c r="JC38" s="242"/>
      <c r="JD38" s="242"/>
      <c r="JE38" s="242"/>
      <c r="JF38" s="1982" t="str">
        <f t="shared" si="135"/>
        <v>Innehav utan bestämmande inflytande</v>
      </c>
      <c r="JG38" s="1984">
        <f>IZ38</f>
        <v>1.5</v>
      </c>
      <c r="JH38" s="2054">
        <f t="shared" si="274"/>
        <v>3.7000000000000144E-2</v>
      </c>
      <c r="JI38" s="1984">
        <f t="shared" si="274"/>
        <v>1.5370000000000001</v>
      </c>
      <c r="JJ38" s="244"/>
      <c r="JK38" s="242"/>
      <c r="JL38" s="242"/>
      <c r="JM38" s="1982" t="s">
        <v>345</v>
      </c>
      <c r="JN38" s="1984">
        <f t="shared" si="87"/>
        <v>1.5</v>
      </c>
      <c r="JO38" s="2054">
        <f t="shared" si="148"/>
        <v>3.7000000000000144E-2</v>
      </c>
      <c r="JP38" s="1984">
        <f t="shared" si="88"/>
        <v>1.5370000000000001</v>
      </c>
      <c r="JQ38" s="242"/>
    </row>
    <row r="39" spans="2:277" s="269" customFormat="1" outlineLevel="1" x14ac:dyDescent="0.2">
      <c r="B39" s="264">
        <f t="shared" si="27"/>
        <v>30</v>
      </c>
      <c r="D39" s="278" t="str">
        <f>+[2]rapkvart!$B32</f>
        <v>Resultat per aktie (ingen utspädning finns)</v>
      </c>
      <c r="E39" s="278"/>
      <c r="G39" s="1076"/>
      <c r="H39" s="1076"/>
      <c r="I39" s="1076"/>
      <c r="J39" s="1076"/>
      <c r="K39" s="1076"/>
      <c r="L39" s="1076"/>
      <c r="M39" s="1076"/>
      <c r="N39" s="1076"/>
      <c r="O39" s="1076"/>
      <c r="P39" s="1076"/>
      <c r="Q39" s="1076"/>
      <c r="R39" s="1076"/>
      <c r="S39" s="1072"/>
      <c r="T39" s="1073"/>
      <c r="U39" s="1073"/>
      <c r="V39" s="1073"/>
      <c r="W39" s="1073"/>
      <c r="X39" s="1073"/>
      <c r="Y39" s="1073"/>
      <c r="Z39" s="1073"/>
      <c r="AA39" s="1073"/>
      <c r="AB39" s="1073"/>
      <c r="AC39" s="1073"/>
      <c r="AD39" s="1073"/>
      <c r="AE39" s="1073"/>
      <c r="AV39" s="1873" t="str">
        <f t="shared" si="28"/>
        <v>Resultat per aktie (ingen utspädning finns)</v>
      </c>
      <c r="AW39" s="1874"/>
      <c r="AX39" s="1765"/>
      <c r="AY39" s="1875"/>
      <c r="AZ39" s="1765"/>
      <c r="BA39" s="1875"/>
      <c r="BB39" s="1765"/>
      <c r="BC39" s="1875"/>
      <c r="BE39" s="1873" t="s">
        <v>348</v>
      </c>
      <c r="BF39" s="2332"/>
      <c r="BG39" s="2333"/>
      <c r="BH39" s="2332"/>
      <c r="BI39" s="2333"/>
      <c r="BJ39" s="2332"/>
      <c r="BK39" s="2333"/>
      <c r="BL39" s="2332"/>
      <c r="BN39" s="242"/>
      <c r="BP39" s="354"/>
      <c r="BQ39" s="353"/>
      <c r="BR39" s="354"/>
      <c r="BS39" s="354"/>
      <c r="BT39" s="354"/>
      <c r="BU39" s="354"/>
      <c r="BV39" s="354"/>
      <c r="BW39" s="354"/>
      <c r="BX39" s="354"/>
      <c r="BY39" s="354"/>
      <c r="BZ39" s="354"/>
      <c r="CA39" s="354"/>
      <c r="CB39" s="354"/>
      <c r="CE39" s="1288">
        <f t="shared" si="171"/>
        <v>1</v>
      </c>
      <c r="CF39" s="281">
        <f t="shared" si="36"/>
        <v>29</v>
      </c>
      <c r="CU39" s="2142"/>
      <c r="CV39" s="2142"/>
      <c r="CW39" s="369"/>
      <c r="CX39" s="1008"/>
      <c r="CY39" s="1008"/>
      <c r="CZ39" s="1008"/>
      <c r="DA39" s="1008"/>
      <c r="DB39" s="1008"/>
      <c r="DC39" s="1008"/>
      <c r="DD39" s="1008"/>
      <c r="DE39" s="1008"/>
      <c r="DF39" s="1008"/>
      <c r="DG39" s="1008"/>
      <c r="DH39" s="1008"/>
      <c r="DI39" s="1008"/>
      <c r="DJ39" s="244"/>
      <c r="DK39" s="1643">
        <f t="shared" si="73"/>
        <v>0</v>
      </c>
      <c r="DL39" s="1616">
        <f t="shared" ref="DL39:DU39" si="284">CK67-T39</f>
        <v>-2.3000000000000131E-2</v>
      </c>
      <c r="DM39" s="1616">
        <f t="shared" si="284"/>
        <v>-1.2999999999999456E-2</v>
      </c>
      <c r="DN39" s="1616">
        <f t="shared" si="284"/>
        <v>2.6999999999999247E-2</v>
      </c>
      <c r="DO39" s="1616">
        <f t="shared" si="284"/>
        <v>3.9999999999995595E-3</v>
      </c>
      <c r="DP39" s="1616">
        <f t="shared" si="284"/>
        <v>-7.0000000000001172E-3</v>
      </c>
      <c r="DQ39" s="1616">
        <f t="shared" si="284"/>
        <v>6.0000000000002274E-3</v>
      </c>
      <c r="DR39" s="1616">
        <f t="shared" si="284"/>
        <v>4.3000000000000149E-2</v>
      </c>
      <c r="DS39" s="1616">
        <f t="shared" si="284"/>
        <v>-5.699999999999994E-2</v>
      </c>
      <c r="DT39" s="1616">
        <f t="shared" si="284"/>
        <v>2.9999999999998916E-3</v>
      </c>
      <c r="DU39" s="1616">
        <f t="shared" si="284"/>
        <v>3.7000000000000144E-2</v>
      </c>
      <c r="DV39" s="1616">
        <f t="shared" si="48"/>
        <v>0</v>
      </c>
      <c r="DW39" s="1616">
        <f t="shared" si="49"/>
        <v>0</v>
      </c>
      <c r="DX39" s="244"/>
      <c r="DY39" s="1190"/>
      <c r="DZ39" s="1668"/>
      <c r="EA39" s="1239"/>
      <c r="EB39" s="1240"/>
      <c r="EC39" s="1239"/>
      <c r="ED39" s="1240"/>
      <c r="EE39" s="1239"/>
      <c r="EF39" s="1240"/>
      <c r="EH39" s="242"/>
      <c r="EI39" s="242"/>
      <c r="EK39" s="1190"/>
      <c r="EL39" s="1668"/>
      <c r="EM39" s="1239"/>
      <c r="EN39" s="1240"/>
      <c r="EO39" s="1239"/>
      <c r="EP39" s="1240"/>
      <c r="EQ39" s="1239"/>
      <c r="ER39" s="1240"/>
      <c r="ET39" s="242"/>
      <c r="EU39" s="2034">
        <f>IF(EW42=EW27,0,1)</f>
        <v>0</v>
      </c>
      <c r="EV39" s="242"/>
      <c r="EW39" s="907" t="str">
        <f t="shared" si="254"/>
        <v xml:space="preserve">Avkastning på eget kapital (efter skatt) baserat på periodens resultat (efter skatt) % </v>
      </c>
      <c r="EX39" s="911">
        <f t="shared" ref="EX39:FC39" si="285">HJ63</f>
        <v>0.36297640653357571</v>
      </c>
      <c r="EY39" s="912">
        <f t="shared" si="285"/>
        <v>0.10204369274136635</v>
      </c>
      <c r="EZ39" s="911">
        <f t="shared" si="285"/>
        <v>0.27363020456488862</v>
      </c>
      <c r="FA39" s="912">
        <f t="shared" si="285"/>
        <v>0.17940490081680258</v>
      </c>
      <c r="FB39" s="912">
        <f t="shared" si="285"/>
        <v>0.16054313099041562</v>
      </c>
      <c r="FC39" s="911">
        <f t="shared" si="285"/>
        <v>0.11244690806997353</v>
      </c>
      <c r="FD39" s="310"/>
      <c r="FE39" s="310"/>
      <c r="FF39" s="913" t="s">
        <v>342</v>
      </c>
      <c r="FG39" s="896" t="str">
        <f>FG$10</f>
        <v>Q2</v>
      </c>
      <c r="FH39" s="897"/>
      <c r="FI39" s="896" t="str">
        <f>FI$10</f>
        <v>Q1-Q2</v>
      </c>
      <c r="FJ39" s="897"/>
      <c r="FK39" s="898" t="str">
        <f>FK$10</f>
        <v>R12, Q1</v>
      </c>
      <c r="FL39" s="898" t="str">
        <f>FL$10</f>
        <v>Full Year</v>
      </c>
      <c r="FM39" s="310"/>
      <c r="FN39" s="310"/>
      <c r="FO39" s="310"/>
      <c r="FP39" s="310"/>
      <c r="FQ39" s="310"/>
      <c r="FR39" s="310"/>
      <c r="FS39" s="242"/>
      <c r="FT39" s="242"/>
      <c r="FU39" s="242"/>
      <c r="FV39" s="242"/>
      <c r="FW39" s="242"/>
      <c r="FX39" s="242"/>
      <c r="FY39" s="242"/>
      <c r="FZ39" s="242"/>
      <c r="GA39" s="242"/>
      <c r="GB39" s="242"/>
      <c r="GC39" s="310"/>
      <c r="GD39" s="310"/>
      <c r="GE39" s="310"/>
      <c r="GF39" s="310"/>
      <c r="GG39" s="310"/>
      <c r="GH39" s="310"/>
      <c r="GI39" s="310"/>
      <c r="GJ39" s="310"/>
      <c r="GK39" s="310"/>
      <c r="GL39" s="310"/>
      <c r="GM39" s="310"/>
      <c r="GN39" s="310"/>
      <c r="GO39" s="310"/>
      <c r="GP39" s="310"/>
      <c r="GQ39" s="310"/>
      <c r="GR39" s="310"/>
      <c r="GS39" s="310"/>
      <c r="GT39" s="890"/>
      <c r="GU39" s="412"/>
      <c r="GV39" s="242"/>
      <c r="GW39" s="1998"/>
      <c r="GX39" s="1998"/>
      <c r="GY39" s="1998"/>
      <c r="GZ39" s="1998"/>
      <c r="HA39" s="1998"/>
      <c r="HB39" s="1998"/>
      <c r="HC39" s="1998"/>
      <c r="HD39" s="1998"/>
      <c r="HE39" s="1998"/>
      <c r="HF39" s="1998"/>
      <c r="HG39" s="413"/>
      <c r="HH39" s="413"/>
      <c r="HJ39" s="928"/>
      <c r="HK39" s="413"/>
      <c r="HL39" s="928"/>
      <c r="HM39" s="413"/>
      <c r="HN39" s="928"/>
      <c r="HO39" s="2019"/>
      <c r="HP39" s="1999"/>
      <c r="HQ39" s="310"/>
      <c r="HR39" s="310"/>
      <c r="HS39" s="310"/>
      <c r="HT39" s="310"/>
      <c r="HU39" s="310"/>
      <c r="HV39" s="310"/>
      <c r="HW39" s="310"/>
      <c r="HX39" s="310"/>
      <c r="HY39" s="310"/>
      <c r="HZ39" s="892"/>
      <c r="IA39" s="412"/>
      <c r="IB39" s="928"/>
      <c r="IC39" s="413"/>
      <c r="ID39" s="928"/>
      <c r="IE39" s="413"/>
      <c r="IF39" s="928"/>
      <c r="IG39" s="2019"/>
      <c r="IH39" s="1150"/>
      <c r="IJ39" s="1678">
        <f t="shared" si="173"/>
        <v>0</v>
      </c>
      <c r="IK39" s="264">
        <f t="shared" si="23"/>
        <v>29</v>
      </c>
      <c r="IL39" s="242"/>
      <c r="IM39" s="242"/>
      <c r="IN39" s="1190"/>
      <c r="IO39" s="1699"/>
      <c r="IP39" s="1699"/>
      <c r="IQ39" s="1699"/>
      <c r="IR39" s="242"/>
      <c r="IS39" s="363"/>
      <c r="IT39" s="1678">
        <f t="shared" si="174"/>
        <v>0</v>
      </c>
      <c r="IU39" s="264">
        <f t="shared" si="24"/>
        <v>29</v>
      </c>
      <c r="IV39" s="242"/>
      <c r="IW39" s="242"/>
      <c r="IX39" s="1723"/>
      <c r="IY39" s="1190"/>
      <c r="IZ39" s="1239"/>
      <c r="JA39" s="1699"/>
      <c r="JB39" s="1239"/>
      <c r="JC39" s="242"/>
      <c r="JD39" s="242"/>
      <c r="JE39" s="242"/>
      <c r="JF39" s="1873"/>
      <c r="JG39" s="1765"/>
      <c r="JH39" s="1766"/>
      <c r="JI39" s="1765"/>
      <c r="JJ39" s="242"/>
      <c r="JK39" s="363"/>
      <c r="JL39" s="363"/>
      <c r="JM39" s="2308"/>
      <c r="JN39" s="1968"/>
      <c r="JO39" s="1969"/>
      <c r="JP39" s="1968"/>
      <c r="JQ39" s="363"/>
    </row>
    <row r="40" spans="2:277" s="269" customFormat="1" ht="11.25" customHeight="1" outlineLevel="1" x14ac:dyDescent="0.2">
      <c r="B40" s="264">
        <f t="shared" si="27"/>
        <v>31</v>
      </c>
      <c r="D40" s="288" t="s">
        <v>349</v>
      </c>
      <c r="E40" s="288"/>
      <c r="G40" s="1085">
        <f>[2]rapkvart!S33</f>
        <v>3.43</v>
      </c>
      <c r="H40" s="1085">
        <f>[2]rapkvart!T33</f>
        <v>8.76</v>
      </c>
      <c r="I40" s="1085">
        <f>[2]rapkvart!U33</f>
        <v>11</v>
      </c>
      <c r="J40" s="1085">
        <f>[2]rapkvart!V33</f>
        <v>12.67</v>
      </c>
      <c r="K40" s="1085">
        <f>[2]rapkvart!O33</f>
        <v>6.02</v>
      </c>
      <c r="L40" s="1085">
        <f>[2]rapkvart!P33</f>
        <v>9.3000000000000007</v>
      </c>
      <c r="M40" s="1085">
        <f>[2]rapkvart!Q33</f>
        <v>12.42</v>
      </c>
      <c r="N40" s="1085">
        <f>[2]rapkvart!R33</f>
        <v>14.27</v>
      </c>
      <c r="O40" s="1085">
        <f>[2]rapkvart!K33</f>
        <v>4.82</v>
      </c>
      <c r="P40" s="1085">
        <f>[2]rapkvart!L33</f>
        <v>14.16</v>
      </c>
      <c r="Q40" s="1085">
        <f>[2]rapkvart!M33</f>
        <v>12.42</v>
      </c>
      <c r="R40" s="1085">
        <f>[2]rapkvart!N33</f>
        <v>14.27</v>
      </c>
      <c r="S40" s="1072"/>
      <c r="T40" s="1073">
        <f>[2]rapkvart!AE33</f>
        <v>3.43</v>
      </c>
      <c r="U40" s="1073">
        <f>[2]rapkvart!AF33</f>
        <v>5.32</v>
      </c>
      <c r="V40" s="1073">
        <f>[2]rapkvart!AG33</f>
        <v>2.25</v>
      </c>
      <c r="W40" s="1073">
        <f>[2]rapkvart!AH33</f>
        <v>1.66</v>
      </c>
      <c r="X40" s="1073">
        <f>[2]rapkvart!AA33</f>
        <v>6.02</v>
      </c>
      <c r="Y40" s="1073">
        <f>[2]rapkvart!AB33</f>
        <v>3.2800000000000011</v>
      </c>
      <c r="Z40" s="1073">
        <f>[2]rapkvart!AC33</f>
        <v>3.1199999999999992</v>
      </c>
      <c r="AA40" s="1073">
        <f>[2]rapkvart!AD33</f>
        <v>1.8499999999999996</v>
      </c>
      <c r="AB40" s="1073">
        <f>[2]rapkvart!W33</f>
        <v>4.82</v>
      </c>
      <c r="AC40" s="1073">
        <f>[2]rapkvart!X33</f>
        <v>9.34</v>
      </c>
      <c r="AD40" s="1073">
        <f>[2]rapkvart!Y33</f>
        <v>-1.7400000000000002</v>
      </c>
      <c r="AE40" s="1073">
        <f>[2]rapkvart!Z33</f>
        <v>1.8499999999999996</v>
      </c>
      <c r="AU40" s="367"/>
      <c r="AV40" s="1871" t="str">
        <f t="shared" si="28"/>
        <v>från kvarvarande verksamhet efter skatt, kr</v>
      </c>
      <c r="AW40" s="1872"/>
      <c r="AX40" s="1232">
        <f>$AC40</f>
        <v>9.34</v>
      </c>
      <c r="AY40" s="1233">
        <f>$Y40</f>
        <v>3.2800000000000011</v>
      </c>
      <c r="AZ40" s="1232">
        <f>P40</f>
        <v>14.16</v>
      </c>
      <c r="BA40" s="1233">
        <f>L40</f>
        <v>9.3000000000000007</v>
      </c>
      <c r="BB40" s="1232">
        <f>SUM(Z31:AC31)/AVERAGEA($BB$96)*1000000</f>
        <v>19.719480589692242</v>
      </c>
      <c r="BC40" s="1233">
        <f>N40</f>
        <v>14.27</v>
      </c>
      <c r="BD40" s="367"/>
      <c r="BE40" s="1871" t="s">
        <v>350</v>
      </c>
      <c r="BF40" s="1233"/>
      <c r="BG40" s="1232">
        <f t="shared" ref="BG40:BL42" si="286">AX40</f>
        <v>9.34</v>
      </c>
      <c r="BH40" s="1233">
        <f t="shared" si="286"/>
        <v>3.2800000000000011</v>
      </c>
      <c r="BI40" s="1232">
        <f t="shared" si="286"/>
        <v>14.16</v>
      </c>
      <c r="BJ40" s="1233">
        <f t="shared" si="286"/>
        <v>9.3000000000000007</v>
      </c>
      <c r="BK40" s="1232">
        <f>BB40</f>
        <v>19.719480589692242</v>
      </c>
      <c r="BL40" s="1233">
        <f t="shared" si="286"/>
        <v>14.27</v>
      </c>
      <c r="BN40" s="242"/>
      <c r="BP40" s="354" t="str">
        <f>CI40</f>
        <v>Resultat per aktie från kvarvarande verksamhet (efter skatt), kr*</v>
      </c>
      <c r="BQ40" s="353"/>
      <c r="BR40" s="354"/>
      <c r="BS40" s="354"/>
      <c r="BT40" s="354"/>
      <c r="BU40" s="354"/>
      <c r="BV40" s="354"/>
      <c r="BW40" s="354"/>
      <c r="BX40" s="354"/>
      <c r="BY40" s="354"/>
      <c r="BZ40" s="354"/>
      <c r="CA40" s="354"/>
      <c r="CB40" s="354"/>
      <c r="CE40" s="1288">
        <f t="shared" si="171"/>
        <v>1</v>
      </c>
      <c r="CF40" s="281">
        <f t="shared" si="36"/>
        <v>30</v>
      </c>
      <c r="CH40" s="2130"/>
      <c r="CI40" s="2119" t="s">
        <v>351</v>
      </c>
      <c r="CJ40" s="2120"/>
      <c r="CK40" s="2121">
        <f t="shared" ref="CK40:CV40" si="287">(CK$31-CK$38)/(CK$107)*1000000</f>
        <v>0.93220634496927024</v>
      </c>
      <c r="CL40" s="2121">
        <f t="shared" si="287"/>
        <v>2.8919361651084183</v>
      </c>
      <c r="CM40" s="2121">
        <f t="shared" si="287"/>
        <v>-0.23355420322960796</v>
      </c>
      <c r="CN40" s="2121">
        <f t="shared" si="287"/>
        <v>-0.21490246696241164</v>
      </c>
      <c r="CO40" s="2121">
        <f t="shared" si="287"/>
        <v>3.4629178478869878</v>
      </c>
      <c r="CP40" s="2121">
        <f t="shared" si="287"/>
        <v>0.97701984450126389</v>
      </c>
      <c r="CQ40" s="2121">
        <f t="shared" si="287"/>
        <v>0.15166699892888572</v>
      </c>
      <c r="CR40" s="2121">
        <f t="shared" si="287"/>
        <v>-0.45724461143904427</v>
      </c>
      <c r="CS40" s="2121">
        <f t="shared" si="287"/>
        <v>2.3083672975593905</v>
      </c>
      <c r="CT40" s="2121">
        <f t="shared" si="287"/>
        <v>6.5394673664221568</v>
      </c>
      <c r="CU40" s="2121" t="e">
        <f t="shared" si="287"/>
        <v>#DIV/0!</v>
      </c>
      <c r="CV40" s="2121" t="e">
        <f t="shared" si="287"/>
        <v>#DIV/0!</v>
      </c>
      <c r="CW40" s="2129"/>
      <c r="CX40" s="1008"/>
      <c r="CY40" s="1008"/>
      <c r="CZ40" s="1008"/>
      <c r="DA40" s="1008"/>
      <c r="DB40" s="1008"/>
      <c r="DC40" s="1008"/>
      <c r="DD40" s="1008"/>
      <c r="DE40" s="1008"/>
      <c r="DF40" s="1008"/>
      <c r="DG40" s="1008"/>
      <c r="DH40" s="1008"/>
      <c r="DI40" s="1008"/>
      <c r="DJ40" s="244"/>
      <c r="DK40" s="1642" t="str">
        <f t="shared" si="73"/>
        <v>Resultat per aktie från kvarvarande verksamhet (efter skatt), kr*</v>
      </c>
      <c r="DL40" s="1625">
        <f t="shared" si="38"/>
        <v>-2.4977936550307298</v>
      </c>
      <c r="DM40" s="1625">
        <f t="shared" si="39"/>
        <v>-2.428063834891582</v>
      </c>
      <c r="DN40" s="1625">
        <f t="shared" si="40"/>
        <v>-2.4835542032296081</v>
      </c>
      <c r="DO40" s="1625">
        <f t="shared" si="41"/>
        <v>-1.8749024669624115</v>
      </c>
      <c r="DP40" s="1625">
        <f t="shared" si="42"/>
        <v>-2.5570821521130118</v>
      </c>
      <c r="DQ40" s="1625">
        <f t="shared" si="43"/>
        <v>-2.3029801554987372</v>
      </c>
      <c r="DR40" s="1625">
        <f t="shared" si="44"/>
        <v>-2.9683330010711133</v>
      </c>
      <c r="DS40" s="1625">
        <f t="shared" si="45"/>
        <v>-2.3072446114390441</v>
      </c>
      <c r="DT40" s="1625">
        <f t="shared" si="46"/>
        <v>-2.5116327024406098</v>
      </c>
      <c r="DU40" s="1661">
        <f t="shared" si="47"/>
        <v>-2.8005326335778431</v>
      </c>
      <c r="DV40" s="1625" t="e">
        <f t="shared" si="48"/>
        <v>#DIV/0!</v>
      </c>
      <c r="DW40" s="1625" t="e">
        <f t="shared" si="49"/>
        <v>#DIV/0!</v>
      </c>
      <c r="DX40" s="2132"/>
      <c r="DY40" s="1190" t="str">
        <f>CI40</f>
        <v>Resultat per aktie från kvarvarande verksamhet (efter skatt), kr*</v>
      </c>
      <c r="DZ40" s="1668"/>
      <c r="EA40" s="1239">
        <f t="shared" ref="EA40:EF40" si="288">(EA$31-EA$38)/(EA$96)*1000000</f>
        <v>6.5394673664221568</v>
      </c>
      <c r="EB40" s="1240">
        <f t="shared" si="288"/>
        <v>0.97701984450126389</v>
      </c>
      <c r="EC40" s="1239">
        <f t="shared" si="288"/>
        <v>8.8478346639815459</v>
      </c>
      <c r="ED40" s="1240">
        <f t="shared" si="288"/>
        <v>4.4399376923882512</v>
      </c>
      <c r="EE40" s="1239">
        <f t="shared" si="288"/>
        <v>8.5422570514713883</v>
      </c>
      <c r="EF40" s="1240">
        <f t="shared" si="288"/>
        <v>4.1343600798780926</v>
      </c>
      <c r="EG40" s="2130"/>
      <c r="EH40" s="242"/>
      <c r="EI40" s="242"/>
      <c r="EK40" s="1190" t="s">
        <v>264</v>
      </c>
      <c r="EL40" s="1668"/>
      <c r="EM40" s="1239">
        <f>EA40</f>
        <v>6.5394673664221568</v>
      </c>
      <c r="EN40" s="1240">
        <f t="shared" si="75"/>
        <v>0.97701984450126389</v>
      </c>
      <c r="EO40" s="1239">
        <f t="shared" si="76"/>
        <v>8.8478346639815459</v>
      </c>
      <c r="EP40" s="1240">
        <f t="shared" si="77"/>
        <v>4.4399376923882512</v>
      </c>
      <c r="EQ40" s="1239">
        <f t="shared" si="78"/>
        <v>8.5422570514713883</v>
      </c>
      <c r="ER40" s="1240">
        <f t="shared" si="79"/>
        <v>4.1343600798780926</v>
      </c>
      <c r="ET40" s="242"/>
      <c r="EU40" s="2034">
        <f>IF(EW43=EW28,0,1)</f>
        <v>0</v>
      </c>
      <c r="EV40" s="242"/>
      <c r="EW40" s="913" t="s">
        <v>341</v>
      </c>
      <c r="EX40" s="896" t="str">
        <f>EX$10</f>
        <v>Kvartal 2</v>
      </c>
      <c r="EY40" s="897"/>
      <c r="EZ40" s="896" t="str">
        <f>EZ$10</f>
        <v>Kvartal 1-2</v>
      </c>
      <c r="FA40" s="897"/>
      <c r="FB40" s="898" t="str">
        <f>FB$10</f>
        <v>Kvartal 2, R12</v>
      </c>
      <c r="FC40" s="898" t="str">
        <f>FC$10</f>
        <v>Helår</v>
      </c>
      <c r="FD40" s="310"/>
      <c r="FE40" s="310"/>
      <c r="FF40" s="906"/>
      <c r="FG40" s="900">
        <f>FG$11</f>
        <v>2026</v>
      </c>
      <c r="FH40" s="900">
        <f t="shared" ref="FH40:FL40" si="289">FH$11</f>
        <v>2025</v>
      </c>
      <c r="FI40" s="900">
        <f>FI$11</f>
        <v>2026</v>
      </c>
      <c r="FJ40" s="900">
        <f t="shared" ref="FJ40" si="290">FJ$11</f>
        <v>2025</v>
      </c>
      <c r="FK40" s="900">
        <f t="shared" si="289"/>
        <v>2026</v>
      </c>
      <c r="FL40" s="900">
        <f t="shared" si="289"/>
        <v>2025</v>
      </c>
      <c r="FM40" s="310"/>
      <c r="FN40" s="310"/>
      <c r="FO40" s="310"/>
      <c r="FP40" s="310"/>
      <c r="FQ40" s="310"/>
      <c r="FR40" s="310"/>
      <c r="FS40" s="242"/>
      <c r="FT40" s="242"/>
      <c r="FU40" s="242"/>
      <c r="FV40" s="242"/>
      <c r="FW40" s="242"/>
      <c r="FX40" s="242"/>
      <c r="FY40" s="242"/>
      <c r="FZ40" s="242"/>
      <c r="GA40" s="242"/>
      <c r="GB40" s="242"/>
      <c r="GC40" s="310"/>
      <c r="GD40" s="310"/>
      <c r="GE40" s="310"/>
      <c r="GF40" s="310"/>
      <c r="GG40" s="310"/>
      <c r="GH40" s="310"/>
      <c r="GI40" s="310"/>
      <c r="GJ40" s="310"/>
      <c r="GK40" s="310"/>
      <c r="GL40" s="310"/>
      <c r="GM40" s="310"/>
      <c r="GN40" s="310"/>
      <c r="GO40" s="310"/>
      <c r="GP40" s="310"/>
      <c r="GQ40" s="310"/>
      <c r="GR40" s="310"/>
      <c r="GS40" s="310"/>
      <c r="GT40" s="890"/>
      <c r="GU40" s="412" t="s">
        <v>304</v>
      </c>
      <c r="GV40" s="242"/>
      <c r="GW40" s="1992">
        <f>'Koncern BR'!AK41</f>
        <v>2374.1582806581546</v>
      </c>
      <c r="GX40" s="1992">
        <f>'Koncern BR'!AL41</f>
        <v>2393.5916504387696</v>
      </c>
      <c r="GY40" s="1992">
        <f>'Koncern BR'!AM41</f>
        <v>2334.2162052193848</v>
      </c>
      <c r="GZ40" s="1992">
        <f>'Koncern BR'!AN41</f>
        <v>2292.885593</v>
      </c>
      <c r="HA40" s="1992">
        <f>'Koncern BR'!AO41</f>
        <v>2409.1802132482026</v>
      </c>
      <c r="HB40" s="1992">
        <f>'Koncern BR'!AP41</f>
        <v>2420.739605887039</v>
      </c>
      <c r="HC40" s="1992">
        <f>'Koncern BR'!AQ41</f>
        <v>2416.9901823948753</v>
      </c>
      <c r="HD40" s="1992">
        <f>'Koncern BR'!AR41</f>
        <v>2361.585591886711</v>
      </c>
      <c r="HE40" s="1992">
        <f>'Koncern BR'!AS41</f>
        <v>2410.6166956286397</v>
      </c>
      <c r="HF40" s="1992">
        <f>'Koncern BR'!AT41</f>
        <v>2464.0078124457832</v>
      </c>
      <c r="HG40" s="1992">
        <f>'Koncern BR'!AU41</f>
        <v>0</v>
      </c>
      <c r="HH40" s="1992">
        <f>'Koncern BR'!AV41</f>
        <v>0</v>
      </c>
      <c r="HJ40" s="925">
        <f>HF40</f>
        <v>2464.0078124457832</v>
      </c>
      <c r="HK40" s="924">
        <f>HB40</f>
        <v>2420.739605887039</v>
      </c>
      <c r="HL40" s="925">
        <f>HF40</f>
        <v>2464.0078124457832</v>
      </c>
      <c r="HM40" s="924">
        <f>HB40</f>
        <v>2420.739605887039</v>
      </c>
      <c r="HN40" s="925">
        <f>HF40</f>
        <v>2464.0078124457832</v>
      </c>
      <c r="HO40" s="1575">
        <f>HD40</f>
        <v>2361.585591886711</v>
      </c>
      <c r="HP40" s="1999"/>
      <c r="HQ40" s="310"/>
      <c r="HR40" s="310"/>
      <c r="HS40" s="310"/>
      <c r="HT40" s="310"/>
      <c r="HU40" s="310"/>
      <c r="HV40" s="310"/>
      <c r="HW40" s="310"/>
      <c r="HX40" s="310"/>
      <c r="HY40" s="310"/>
      <c r="HZ40" s="892"/>
      <c r="IA40" s="412" t="s">
        <v>305</v>
      </c>
      <c r="IB40" s="925">
        <f t="shared" ref="IB40:IG46" si="291">HJ40</f>
        <v>2464.0078124457832</v>
      </c>
      <c r="IC40" s="924">
        <f t="shared" si="291"/>
        <v>2420.739605887039</v>
      </c>
      <c r="ID40" s="925">
        <f t="shared" si="291"/>
        <v>2464.0078124457832</v>
      </c>
      <c r="IE40" s="924">
        <f t="shared" si="291"/>
        <v>2420.739605887039</v>
      </c>
      <c r="IF40" s="925">
        <f t="shared" si="291"/>
        <v>2464.0078124457832</v>
      </c>
      <c r="IG40" s="1575">
        <f t="shared" si="291"/>
        <v>2361.585591886711</v>
      </c>
      <c r="IH40" s="1219"/>
      <c r="IJ40" s="1678">
        <f t="shared" si="173"/>
        <v>0</v>
      </c>
      <c r="IK40" s="264">
        <f t="shared" si="23"/>
        <v>30</v>
      </c>
      <c r="IL40" s="242"/>
      <c r="IM40" s="242"/>
      <c r="IN40" s="1190" t="str">
        <f>IX40</f>
        <v>Resultat per aktie från kvarvarande verksamhet (efter skatt), kr*</v>
      </c>
      <c r="IO40" s="1699"/>
      <c r="IP40" s="1699"/>
      <c r="IQ40" s="1699"/>
      <c r="IR40" s="242"/>
      <c r="IS40" s="242"/>
      <c r="IT40" s="1678">
        <f t="shared" si="174"/>
        <v>0</v>
      </c>
      <c r="IU40" s="264">
        <f t="shared" si="24"/>
        <v>30</v>
      </c>
      <c r="IV40" s="242"/>
      <c r="IW40" s="242"/>
      <c r="IX40" s="1723" t="s">
        <v>351</v>
      </c>
      <c r="IY40" s="1190"/>
      <c r="IZ40" s="1239">
        <f>AX40</f>
        <v>9.34</v>
      </c>
      <c r="JA40" s="1699">
        <f t="shared" si="86"/>
        <v>-2.8005326335778431</v>
      </c>
      <c r="JB40" s="1239">
        <f>SUM(EA40)</f>
        <v>6.5394673664221568</v>
      </c>
      <c r="JC40" s="242"/>
      <c r="JD40" s="242"/>
      <c r="JE40" s="242"/>
      <c r="JF40" s="1871" t="str">
        <f>IX40</f>
        <v>Resultat per aktie från kvarvarande verksamhet (efter skatt), kr*</v>
      </c>
      <c r="JG40" s="1232">
        <f t="shared" ref="JG40:JI42" si="292">IZ40</f>
        <v>9.34</v>
      </c>
      <c r="JH40" s="1242">
        <f t="shared" si="292"/>
        <v>-2.8005326335778431</v>
      </c>
      <c r="JI40" s="1232">
        <f>JB40</f>
        <v>6.5394673664221568</v>
      </c>
      <c r="JJ40" s="242"/>
      <c r="JK40" s="242"/>
      <c r="JL40" s="242"/>
      <c r="JM40" s="1982" t="s">
        <v>353</v>
      </c>
      <c r="JN40" s="1984">
        <f t="shared" si="87"/>
        <v>9.34</v>
      </c>
      <c r="JO40" s="2054">
        <f t="shared" si="148"/>
        <v>-2.8005326335778431</v>
      </c>
      <c r="JP40" s="1984">
        <f t="shared" si="88"/>
        <v>6.5394673664221568</v>
      </c>
      <c r="JQ40" s="242"/>
    </row>
    <row r="41" spans="2:277" s="269" customFormat="1" ht="11.25" customHeight="1" outlineLevel="1" thickBot="1" x14ac:dyDescent="0.25">
      <c r="B41" s="264">
        <f t="shared" si="27"/>
        <v>32</v>
      </c>
      <c r="D41" s="347" t="s">
        <v>354</v>
      </c>
      <c r="E41" s="347"/>
      <c r="G41" s="1081">
        <f>[2]rapkvart!S34</f>
        <v>0</v>
      </c>
      <c r="H41" s="1081">
        <f>[2]rapkvart!T34</f>
        <v>0</v>
      </c>
      <c r="I41" s="1081">
        <f>[2]rapkvart!U34</f>
        <v>0</v>
      </c>
      <c r="J41" s="1081">
        <f>[2]rapkvart!V34</f>
        <v>0</v>
      </c>
      <c r="K41" s="1081">
        <f>[2]rapkvart!O34</f>
        <v>-0.36999999999999922</v>
      </c>
      <c r="L41" s="1081">
        <f>[2]rapkvart!P34</f>
        <v>-1.3900000000000006</v>
      </c>
      <c r="M41" s="1081">
        <f>[2]rapkvart!Q34</f>
        <v>-2.2400000000000002</v>
      </c>
      <c r="N41" s="1081">
        <f>[2]rapkvart!R34</f>
        <v>-4.33</v>
      </c>
      <c r="O41" s="1081">
        <f>[2]rapkvart!K34</f>
        <v>-0.37000000000000011</v>
      </c>
      <c r="P41" s="1081">
        <f>[2]rapkvart!L34</f>
        <v>-0.46000000000000085</v>
      </c>
      <c r="Q41" s="1081">
        <f>[2]rapkvart!M34</f>
        <v>-2.2400000000000002</v>
      </c>
      <c r="R41" s="1081">
        <f>[2]rapkvart!N34</f>
        <v>-4.33</v>
      </c>
      <c r="S41" s="1072"/>
      <c r="T41" s="1073">
        <f>[2]rapkvart!AE34</f>
        <v>0</v>
      </c>
      <c r="U41" s="1073">
        <f>[2]rapkvart!AF34</f>
        <v>0</v>
      </c>
      <c r="V41" s="1073">
        <f>[2]rapkvart!AG34</f>
        <v>0</v>
      </c>
      <c r="W41" s="1073">
        <f>[2]rapkvart!AH34</f>
        <v>0</v>
      </c>
      <c r="X41" s="1073">
        <f>[2]rapkvart!AA34</f>
        <v>-0.36999999999999922</v>
      </c>
      <c r="Y41" s="1073">
        <f>[2]rapkvart!AB34</f>
        <v>-1.0200000000000014</v>
      </c>
      <c r="Z41" s="1073">
        <f>[2]rapkvart!AC34</f>
        <v>-0.84999999999999964</v>
      </c>
      <c r="AA41" s="1073">
        <f>[2]rapkvart!AD34</f>
        <v>-2.09</v>
      </c>
      <c r="AB41" s="1073">
        <f>[2]rapkvart!W34</f>
        <v>-0.37000000000000011</v>
      </c>
      <c r="AC41" s="1073">
        <f>[2]rapkvart!X34</f>
        <v>-8.9999999999999858E-2</v>
      </c>
      <c r="AD41" s="1073">
        <f>[2]rapkvart!Y34</f>
        <v>-1.7799999999999994</v>
      </c>
      <c r="AE41" s="1073">
        <f>[2]rapkvart!Z34</f>
        <v>-2.09</v>
      </c>
      <c r="AU41" s="367"/>
      <c r="AV41" s="1183" t="str">
        <f t="shared" si="28"/>
        <v>från avvecklad verksamhet efter skatt, kr</v>
      </c>
      <c r="AW41" s="1193"/>
      <c r="AX41" s="1232">
        <f>$AC41</f>
        <v>-8.9999999999999858E-2</v>
      </c>
      <c r="AY41" s="1242">
        <f>$Y41</f>
        <v>-1.0200000000000014</v>
      </c>
      <c r="AZ41" s="1232">
        <f>P41</f>
        <v>-0.46000000000000085</v>
      </c>
      <c r="BA41" s="1242">
        <f>L41</f>
        <v>-1.3900000000000006</v>
      </c>
      <c r="BB41" s="1232">
        <f>SUM(Z34:AC34)/AVERAGEA($BB$96)*1000000</f>
        <v>-3.4194849823112619</v>
      </c>
      <c r="BC41" s="1242">
        <f>N41</f>
        <v>-4.33</v>
      </c>
      <c r="BD41" s="367"/>
      <c r="BE41" s="1183" t="s">
        <v>355</v>
      </c>
      <c r="BF41" s="1193"/>
      <c r="BG41" s="1232">
        <f t="shared" si="286"/>
        <v>-8.9999999999999858E-2</v>
      </c>
      <c r="BH41" s="1242">
        <f>AY41</f>
        <v>-1.0200000000000014</v>
      </c>
      <c r="BI41" s="1232">
        <f t="shared" si="286"/>
        <v>-0.46000000000000085</v>
      </c>
      <c r="BJ41" s="1242">
        <f t="shared" si="286"/>
        <v>-1.3900000000000006</v>
      </c>
      <c r="BK41" s="1232">
        <f t="shared" si="286"/>
        <v>-3.4194849823112619</v>
      </c>
      <c r="BL41" s="1242">
        <f t="shared" si="286"/>
        <v>-4.33</v>
      </c>
      <c r="BN41" s="242"/>
      <c r="BP41" s="354" t="str">
        <f>CI41</f>
        <v>Resultat per aktie från avvecklad verksamhet (efter skatt), kr*</v>
      </c>
      <c r="BQ41" s="353"/>
      <c r="BR41" s="354"/>
      <c r="BS41" s="354"/>
      <c r="BT41" s="354"/>
      <c r="BU41" s="354"/>
      <c r="BV41" s="354"/>
      <c r="BW41" s="354"/>
      <c r="BX41" s="354"/>
      <c r="BY41" s="354"/>
      <c r="BZ41" s="354"/>
      <c r="CA41" s="354"/>
      <c r="CB41" s="354"/>
      <c r="CE41" s="1288">
        <f t="shared" si="171"/>
        <v>1</v>
      </c>
      <c r="CF41" s="281">
        <f t="shared" si="36"/>
        <v>31</v>
      </c>
      <c r="CH41" s="2130"/>
      <c r="CI41" s="2119" t="s">
        <v>356</v>
      </c>
      <c r="CJ41" s="2120"/>
      <c r="CK41" s="2121">
        <f t="shared" ref="CK41:CV41" si="293">(CK$34)/(CK$107)*1000000</f>
        <v>0</v>
      </c>
      <c r="CL41" s="2121">
        <f t="shared" si="293"/>
        <v>0</v>
      </c>
      <c r="CM41" s="2121">
        <f t="shared" si="293"/>
        <v>0</v>
      </c>
      <c r="CN41" s="2121">
        <f t="shared" si="293"/>
        <v>0</v>
      </c>
      <c r="CO41" s="2121">
        <f t="shared" si="293"/>
        <v>-0.37222378028795305</v>
      </c>
      <c r="CP41" s="2121">
        <f t="shared" si="293"/>
        <v>-1.0181415166699892</v>
      </c>
      <c r="CQ41" s="2121">
        <f t="shared" si="293"/>
        <v>-0.86487290125730298</v>
      </c>
      <c r="CR41" s="2121">
        <f t="shared" si="293"/>
        <v>-2.1238650992900849</v>
      </c>
      <c r="CS41" s="2121">
        <f t="shared" si="293"/>
        <v>-0.38317153853171637</v>
      </c>
      <c r="CT41" s="2121">
        <f t="shared" si="293"/>
        <v>-8.7582065950106591E-2</v>
      </c>
      <c r="CU41" s="2121" t="e">
        <f t="shared" si="293"/>
        <v>#DIV/0!</v>
      </c>
      <c r="CV41" s="2121" t="e">
        <f t="shared" si="293"/>
        <v>#DIV/0!</v>
      </c>
      <c r="CW41" s="2129"/>
      <c r="CX41" s="1008"/>
      <c r="CY41" s="1008"/>
      <c r="CZ41" s="1008"/>
      <c r="DA41" s="1008"/>
      <c r="DB41" s="1008"/>
      <c r="DC41" s="1008"/>
      <c r="DD41" s="1008"/>
      <c r="DE41" s="1008"/>
      <c r="DF41" s="1008"/>
      <c r="DG41" s="1008"/>
      <c r="DH41" s="1008"/>
      <c r="DI41" s="1008"/>
      <c r="DJ41" s="244"/>
      <c r="DK41" s="1642" t="str">
        <f t="shared" si="73"/>
        <v>Resultat per aktie från avvecklad verksamhet (efter skatt), kr*</v>
      </c>
      <c r="DL41" s="1625">
        <f t="shared" si="38"/>
        <v>0</v>
      </c>
      <c r="DM41" s="1625">
        <f t="shared" si="39"/>
        <v>0</v>
      </c>
      <c r="DN41" s="1625">
        <f t="shared" si="40"/>
        <v>0</v>
      </c>
      <c r="DO41" s="1625">
        <f t="shared" si="41"/>
        <v>0</v>
      </c>
      <c r="DP41" s="1625">
        <f t="shared" si="42"/>
        <v>-2.223780287953836E-3</v>
      </c>
      <c r="DQ41" s="1625">
        <f t="shared" si="43"/>
        <v>1.8584833300121506E-3</v>
      </c>
      <c r="DR41" s="1625">
        <f t="shared" si="44"/>
        <v>-1.4872901257303339E-2</v>
      </c>
      <c r="DS41" s="1625">
        <f t="shared" si="45"/>
        <v>-3.3865099290085077E-2</v>
      </c>
      <c r="DT41" s="1625">
        <f t="shared" si="46"/>
        <v>-1.3171538531716265E-2</v>
      </c>
      <c r="DU41" s="1661">
        <f t="shared" si="47"/>
        <v>2.4179340498932667E-3</v>
      </c>
      <c r="DV41" s="1625" t="e">
        <f t="shared" si="48"/>
        <v>#DIV/0!</v>
      </c>
      <c r="DW41" s="1625" t="e">
        <f t="shared" si="49"/>
        <v>#DIV/0!</v>
      </c>
      <c r="DX41" s="2132"/>
      <c r="DY41" s="1973" t="str">
        <f>CI41</f>
        <v>Resultat per aktie från avvecklad verksamhet (efter skatt), kr*</v>
      </c>
      <c r="DZ41" s="1193"/>
      <c r="EA41" s="1232">
        <f t="shared" ref="EA41:EF41" si="294">(EA$34)/(EA$96)*1000000</f>
        <v>-8.7582065950106591E-2</v>
      </c>
      <c r="EB41" s="1242">
        <f t="shared" si="294"/>
        <v>-1.0181415166699892</v>
      </c>
      <c r="EC41" s="1232">
        <f t="shared" si="294"/>
        <v>-0.47075360448182296</v>
      </c>
      <c r="ED41" s="1242">
        <f t="shared" si="294"/>
        <v>-1.3903652969579421</v>
      </c>
      <c r="EE41" s="1232">
        <f t="shared" si="294"/>
        <v>-3.4594916050292106</v>
      </c>
      <c r="EF41" s="1242">
        <f t="shared" si="294"/>
        <v>-4.3791032975053303</v>
      </c>
      <c r="EG41" s="2130"/>
      <c r="EH41" s="242"/>
      <c r="EI41" s="242"/>
      <c r="EK41" s="1973" t="s">
        <v>859</v>
      </c>
      <c r="EL41" s="1193"/>
      <c r="EM41" s="1232">
        <f>EA41</f>
        <v>-8.7582065950106591E-2</v>
      </c>
      <c r="EN41" s="1242">
        <f t="shared" si="75"/>
        <v>-1.0181415166699892</v>
      </c>
      <c r="EO41" s="1232">
        <f t="shared" si="76"/>
        <v>-0.47075360448182296</v>
      </c>
      <c r="EP41" s="1242">
        <f t="shared" si="77"/>
        <v>-1.3903652969579421</v>
      </c>
      <c r="EQ41" s="1232">
        <f t="shared" si="78"/>
        <v>-3.4594916050292106</v>
      </c>
      <c r="ER41" s="1242">
        <f t="shared" si="79"/>
        <v>-4.3791032975053303</v>
      </c>
      <c r="ET41" s="242"/>
      <c r="EU41" s="2034">
        <f>IF(EW44=EW29,0,1)</f>
        <v>0</v>
      </c>
      <c r="EV41" s="242"/>
      <c r="EW41" s="906"/>
      <c r="EX41" s="900">
        <f>EX$11</f>
        <v>2026</v>
      </c>
      <c r="EY41" s="900">
        <f t="shared" ref="EY41:FC41" si="295">EY$11</f>
        <v>2025</v>
      </c>
      <c r="EZ41" s="900">
        <f>EZ$11</f>
        <v>2026</v>
      </c>
      <c r="FA41" s="900">
        <f t="shared" ref="FA41" si="296">FA$11</f>
        <v>2025</v>
      </c>
      <c r="FB41" s="900">
        <f t="shared" si="295"/>
        <v>2026</v>
      </c>
      <c r="FC41" s="900">
        <f t="shared" si="295"/>
        <v>2025</v>
      </c>
      <c r="FD41" s="310"/>
      <c r="FE41" s="310"/>
      <c r="FF41" s="920" t="str">
        <f>FF26</f>
        <v>Total equity attributable to the parent Company's shareholders</v>
      </c>
      <c r="FG41" s="908">
        <f t="shared" ref="FG41:FL43" si="297">EX42</f>
        <v>794.7</v>
      </c>
      <c r="FH41" s="909">
        <f t="shared" si="297"/>
        <v>681.69999999999993</v>
      </c>
      <c r="FI41" s="908">
        <f t="shared" si="297"/>
        <v>794.7</v>
      </c>
      <c r="FJ41" s="909">
        <f t="shared" si="297"/>
        <v>681.69999999999993</v>
      </c>
      <c r="FK41" s="2032">
        <f t="shared" si="297"/>
        <v>794.7</v>
      </c>
      <c r="FL41" s="908">
        <f t="shared" si="297"/>
        <v>698.8</v>
      </c>
      <c r="FM41" s="310"/>
      <c r="FN41" s="310"/>
      <c r="FO41" s="310"/>
      <c r="FP41" s="310"/>
      <c r="FQ41" s="310"/>
      <c r="FR41" s="310"/>
      <c r="FS41" s="242"/>
      <c r="FT41" s="242"/>
      <c r="FU41" s="242"/>
      <c r="FV41" s="242"/>
      <c r="FW41" s="242"/>
      <c r="FX41" s="242"/>
      <c r="FY41" s="242"/>
      <c r="FZ41" s="242"/>
      <c r="GA41" s="242"/>
      <c r="GB41" s="242"/>
      <c r="GC41" s="310"/>
      <c r="GD41" s="310"/>
      <c r="GE41" s="310"/>
      <c r="GF41" s="310"/>
      <c r="GG41" s="310"/>
      <c r="GH41" s="310"/>
      <c r="GI41" s="310"/>
      <c r="GJ41" s="310"/>
      <c r="GK41" s="310"/>
      <c r="GL41" s="310"/>
      <c r="GM41" s="310"/>
      <c r="GN41" s="310"/>
      <c r="GO41" s="310"/>
      <c r="GP41" s="310"/>
      <c r="GQ41" s="310"/>
      <c r="GR41" s="310"/>
      <c r="GS41" s="310"/>
      <c r="GT41" s="890"/>
      <c r="GU41" s="412" t="s">
        <v>34</v>
      </c>
      <c r="GV41" s="242"/>
      <c r="GW41" s="1992">
        <f>'Koncern BR'!AK28</f>
        <v>1312.9250013457231</v>
      </c>
      <c r="GX41" s="1992">
        <f>'Koncern BR'!AL28</f>
        <v>1330.1914870394157</v>
      </c>
      <c r="GY41" s="1992">
        <f>'Koncern BR'!AM28</f>
        <v>1362.0595896053078</v>
      </c>
      <c r="GZ41" s="1992">
        <f>'Koncern BR'!AN28</f>
        <v>1385.1309896251598</v>
      </c>
      <c r="HA41" s="1992">
        <f>'Koncern BR'!AO28</f>
        <v>1443.6189435326914</v>
      </c>
      <c r="HB41" s="1992">
        <f>'Koncern BR'!AP28</f>
        <v>1418.9217061328227</v>
      </c>
      <c r="HC41" s="1992">
        <f>'Koncern BR'!AQ28</f>
        <v>1437.5838647251003</v>
      </c>
      <c r="HD41" s="1992">
        <f>'Koncern BR'!AR28</f>
        <v>1446.5621087588877</v>
      </c>
      <c r="HE41" s="1992">
        <f>'Koncern BR'!AS28</f>
        <v>1465.072907202557</v>
      </c>
      <c r="HF41" s="1992">
        <f>'Koncern BR'!AT28</f>
        <v>1561.7767750203129</v>
      </c>
      <c r="HG41" s="1992">
        <f>'Koncern BR'!AU28</f>
        <v>0</v>
      </c>
      <c r="HH41" s="1992">
        <f>'Koncern BR'!AV28</f>
        <v>0</v>
      </c>
      <c r="HJ41" s="925">
        <f>HF41</f>
        <v>1561.7767750203129</v>
      </c>
      <c r="HK41" s="924">
        <f>HB41</f>
        <v>1418.9217061328227</v>
      </c>
      <c r="HL41" s="925">
        <f>HF41</f>
        <v>1561.7767750203129</v>
      </c>
      <c r="HM41" s="924">
        <f>HB41</f>
        <v>1418.9217061328227</v>
      </c>
      <c r="HN41" s="925">
        <f>HF41</f>
        <v>1561.7767750203129</v>
      </c>
      <c r="HO41" s="1575">
        <f>HD41</f>
        <v>1446.5621087588877</v>
      </c>
      <c r="HP41" s="1999"/>
      <c r="HQ41" s="310"/>
      <c r="HR41" s="310"/>
      <c r="HS41" s="310"/>
      <c r="HT41" s="310"/>
      <c r="HU41" s="310"/>
      <c r="HV41" s="310"/>
      <c r="HW41" s="310"/>
      <c r="HX41" s="310"/>
      <c r="HY41" s="310"/>
      <c r="HZ41" s="892"/>
      <c r="IA41" s="412" t="s">
        <v>884</v>
      </c>
      <c r="IB41" s="925">
        <f t="shared" si="291"/>
        <v>1561.7767750203129</v>
      </c>
      <c r="IC41" s="924">
        <f t="shared" si="291"/>
        <v>1418.9217061328227</v>
      </c>
      <c r="ID41" s="925">
        <f t="shared" si="291"/>
        <v>1561.7767750203129</v>
      </c>
      <c r="IE41" s="924">
        <f t="shared" si="291"/>
        <v>1418.9217061328227</v>
      </c>
      <c r="IF41" s="925">
        <f t="shared" si="291"/>
        <v>1561.7767750203129</v>
      </c>
      <c r="IG41" s="1575">
        <f t="shared" si="291"/>
        <v>1446.5621087588877</v>
      </c>
      <c r="IH41" s="1219"/>
      <c r="IJ41" s="1678">
        <f t="shared" si="173"/>
        <v>0</v>
      </c>
      <c r="IK41" s="264">
        <f t="shared" si="23"/>
        <v>31</v>
      </c>
      <c r="IL41" s="242"/>
      <c r="IM41" s="242"/>
      <c r="IN41" s="1183" t="str">
        <f>IX41</f>
        <v>Resultat per aktie från avvecklad verksamhet (efter skatt), kr*</v>
      </c>
      <c r="IO41" s="1242"/>
      <c r="IP41" s="1242"/>
      <c r="IQ41" s="1242"/>
      <c r="IR41" s="242"/>
      <c r="IS41" s="242"/>
      <c r="IT41" s="1678">
        <f t="shared" si="174"/>
        <v>0</v>
      </c>
      <c r="IU41" s="264">
        <f t="shared" si="24"/>
        <v>31</v>
      </c>
      <c r="IV41" s="242"/>
      <c r="IW41" s="242"/>
      <c r="IX41" s="1183" t="s">
        <v>356</v>
      </c>
      <c r="IY41" s="1183"/>
      <c r="IZ41" s="1232">
        <f>AX41</f>
        <v>-8.9999999999999858E-2</v>
      </c>
      <c r="JA41" s="1242">
        <f t="shared" si="86"/>
        <v>2.4179340498932667E-3</v>
      </c>
      <c r="JB41" s="1232">
        <f>SUM(EA41)</f>
        <v>-8.7582065950106591E-2</v>
      </c>
      <c r="JC41" s="242"/>
      <c r="JD41" s="242"/>
      <c r="JE41" s="242"/>
      <c r="JF41" s="1663" t="str">
        <f>IX41</f>
        <v>Resultat per aktie från avvecklad verksamhet (efter skatt), kr*</v>
      </c>
      <c r="JG41" s="1765">
        <f t="shared" si="292"/>
        <v>-8.9999999999999858E-2</v>
      </c>
      <c r="JH41" s="1766">
        <f t="shared" si="292"/>
        <v>2.4179340498932667E-3</v>
      </c>
      <c r="JI41" s="1765">
        <f t="shared" si="292"/>
        <v>-8.7582065950106591E-2</v>
      </c>
      <c r="JJ41" s="242"/>
      <c r="JK41" s="242"/>
      <c r="JL41" s="242"/>
      <c r="JM41" s="1966" t="s">
        <v>359</v>
      </c>
      <c r="JN41" s="1968">
        <f t="shared" si="87"/>
        <v>-8.9999999999999858E-2</v>
      </c>
      <c r="JO41" s="1969">
        <f t="shared" si="148"/>
        <v>2.4179340498932667E-3</v>
      </c>
      <c r="JP41" s="1968">
        <f t="shared" si="88"/>
        <v>-8.7582065950106591E-2</v>
      </c>
      <c r="JQ41" s="242"/>
    </row>
    <row r="42" spans="2:277" s="269" customFormat="1" ht="11.25" customHeight="1" outlineLevel="1" x14ac:dyDescent="0.2">
      <c r="B42" s="264">
        <f t="shared" si="27"/>
        <v>33</v>
      </c>
      <c r="D42" s="300" t="str">
        <f>+[2]rapkvart!$B35</f>
        <v>Totalt</v>
      </c>
      <c r="E42" s="300"/>
      <c r="G42" s="1086">
        <f>[2]rapkvart!S35</f>
        <v>3.43</v>
      </c>
      <c r="H42" s="1086">
        <f>[2]rapkvart!T35</f>
        <v>8.76</v>
      </c>
      <c r="I42" s="1086">
        <f>[2]rapkvart!U35</f>
        <v>11</v>
      </c>
      <c r="J42" s="1086">
        <f>[2]rapkvart!V35</f>
        <v>12.67</v>
      </c>
      <c r="K42" s="1086">
        <f>[2]rapkvart!O35</f>
        <v>5.65</v>
      </c>
      <c r="L42" s="1086">
        <f>[2]rapkvart!P35</f>
        <v>7.91</v>
      </c>
      <c r="M42" s="1086">
        <f>[2]rapkvart!Q35</f>
        <v>10.18</v>
      </c>
      <c r="N42" s="1086">
        <f>[2]rapkvart!R35</f>
        <v>9.94</v>
      </c>
      <c r="O42" s="1086">
        <f>[2]rapkvart!K35</f>
        <v>4.45</v>
      </c>
      <c r="P42" s="1086">
        <f>[2]rapkvart!L35</f>
        <v>13.7</v>
      </c>
      <c r="Q42" s="1086">
        <f>[2]rapkvart!M35</f>
        <v>10.18</v>
      </c>
      <c r="R42" s="1086">
        <f>[2]rapkvart!N35</f>
        <v>9.94</v>
      </c>
      <c r="S42" s="1072"/>
      <c r="T42" s="1073">
        <f>[2]rapkvart!AE35</f>
        <v>3.43</v>
      </c>
      <c r="U42" s="1073">
        <f>[2]rapkvart!AF35</f>
        <v>5.32</v>
      </c>
      <c r="V42" s="1073">
        <f>[2]rapkvart!AG35</f>
        <v>2.25</v>
      </c>
      <c r="W42" s="1073">
        <f>[2]rapkvart!AH35</f>
        <v>1.66</v>
      </c>
      <c r="X42" s="1073">
        <f>[2]rapkvart!AA35</f>
        <v>5.65</v>
      </c>
      <c r="Y42" s="1073">
        <f>[2]rapkvart!AB35</f>
        <v>2.2599999999999998</v>
      </c>
      <c r="Z42" s="1073">
        <f>[2]rapkvart!AC35</f>
        <v>2.2699999999999996</v>
      </c>
      <c r="AA42" s="1073">
        <f>[2]rapkvart!AD35</f>
        <v>-0.24000000000000021</v>
      </c>
      <c r="AB42" s="1073">
        <f>[2]rapkvart!W35</f>
        <v>4.45</v>
      </c>
      <c r="AC42" s="1073">
        <f>[2]rapkvart!X35</f>
        <v>9.25</v>
      </c>
      <c r="AD42" s="1073">
        <f>[2]rapkvart!Y35</f>
        <v>-3.5199999999999996</v>
      </c>
      <c r="AE42" s="1073">
        <f>[2]rapkvart!Z35</f>
        <v>-0.24000000000000021</v>
      </c>
      <c r="AU42" s="367"/>
      <c r="AV42" s="1981" t="str">
        <f t="shared" si="28"/>
        <v>Totalt</v>
      </c>
      <c r="AW42" s="1958"/>
      <c r="AX42" s="1959">
        <f>$AC42</f>
        <v>9.25</v>
      </c>
      <c r="AY42" s="1960">
        <f>$Y42</f>
        <v>2.2599999999999998</v>
      </c>
      <c r="AZ42" s="1959">
        <f>P42</f>
        <v>13.7</v>
      </c>
      <c r="BA42" s="1960">
        <f>L42</f>
        <v>7.91</v>
      </c>
      <c r="BB42" s="1959">
        <f>SUM(BB40:BB41)</f>
        <v>16.299995607380982</v>
      </c>
      <c r="BC42" s="1960">
        <f>N42</f>
        <v>9.94</v>
      </c>
      <c r="BE42" s="1981" t="s">
        <v>360</v>
      </c>
      <c r="BF42" s="1960"/>
      <c r="BG42" s="1959">
        <f t="shared" si="286"/>
        <v>9.25</v>
      </c>
      <c r="BH42" s="1960">
        <f t="shared" si="286"/>
        <v>2.2599999999999998</v>
      </c>
      <c r="BI42" s="1959">
        <f t="shared" si="286"/>
        <v>13.7</v>
      </c>
      <c r="BJ42" s="1960">
        <f t="shared" si="286"/>
        <v>7.91</v>
      </c>
      <c r="BK42" s="1959">
        <f t="shared" si="286"/>
        <v>16.299995607380982</v>
      </c>
      <c r="BL42" s="1960">
        <f t="shared" si="286"/>
        <v>9.94</v>
      </c>
      <c r="BN42" s="242"/>
      <c r="BP42" s="354" t="str">
        <f>CI42</f>
        <v>Periodens resultat per aktie (efter skatt), kr*</v>
      </c>
      <c r="BQ42" s="353"/>
      <c r="BR42" s="354"/>
      <c r="BS42" s="354"/>
      <c r="BT42" s="354"/>
      <c r="BU42" s="354"/>
      <c r="BV42" s="354"/>
      <c r="BW42" s="354"/>
      <c r="BX42" s="354"/>
      <c r="BY42" s="354"/>
      <c r="BZ42" s="354"/>
      <c r="CA42" s="354"/>
      <c r="CB42" s="354"/>
      <c r="CE42" s="1288">
        <f t="shared" si="171"/>
        <v>1</v>
      </c>
      <c r="CF42" s="281">
        <f t="shared" si="36"/>
        <v>32</v>
      </c>
      <c r="CH42" s="2130"/>
      <c r="CI42" s="2119" t="s">
        <v>361</v>
      </c>
      <c r="CJ42" s="2120"/>
      <c r="CK42" s="2121">
        <f t="shared" ref="CK42:CV42" si="298">(CK$35-CK$38)/(CK$107)*1000000</f>
        <v>0.93220634496927024</v>
      </c>
      <c r="CL42" s="2121">
        <f t="shared" si="298"/>
        <v>2.8919361651084183</v>
      </c>
      <c r="CM42" s="2121">
        <f t="shared" si="298"/>
        <v>-0.23355420322960796</v>
      </c>
      <c r="CN42" s="2121">
        <f t="shared" si="298"/>
        <v>-0.21490246696241164</v>
      </c>
      <c r="CO42" s="2121">
        <f t="shared" si="298"/>
        <v>3.0906940675990349</v>
      </c>
      <c r="CP42" s="2121">
        <f t="shared" si="298"/>
        <v>-4.1121672168725344E-2</v>
      </c>
      <c r="CQ42" s="2121">
        <f t="shared" si="298"/>
        <v>-0.7132059023284173</v>
      </c>
      <c r="CR42" s="2121">
        <f t="shared" si="298"/>
        <v>-2.581109710729129</v>
      </c>
      <c r="CS42" s="2121">
        <f t="shared" si="298"/>
        <v>1.925195759027674</v>
      </c>
      <c r="CT42" s="2121">
        <f t="shared" si="298"/>
        <v>6.4518853004720498</v>
      </c>
      <c r="CU42" s="2121" t="e">
        <f t="shared" si="298"/>
        <v>#DIV/0!</v>
      </c>
      <c r="CV42" s="2121" t="e">
        <f t="shared" si="298"/>
        <v>#DIV/0!</v>
      </c>
      <c r="CW42" s="2129"/>
      <c r="CX42" s="1008"/>
      <c r="CY42" s="1008"/>
      <c r="CZ42" s="1008"/>
      <c r="DA42" s="1008"/>
      <c r="DB42" s="1008"/>
      <c r="DC42" s="1008"/>
      <c r="DD42" s="1008"/>
      <c r="DE42" s="1008"/>
      <c r="DF42" s="1008"/>
      <c r="DG42" s="1008"/>
      <c r="DH42" s="1008"/>
      <c r="DI42" s="1008"/>
      <c r="DJ42" s="244"/>
      <c r="DK42" s="1642" t="str">
        <f t="shared" si="73"/>
        <v>Periodens resultat per aktie (efter skatt), kr*</v>
      </c>
      <c r="DL42" s="1625">
        <f t="shared" si="38"/>
        <v>-2.4977936550307298</v>
      </c>
      <c r="DM42" s="1625">
        <f t="shared" si="39"/>
        <v>-2.428063834891582</v>
      </c>
      <c r="DN42" s="1625">
        <f t="shared" si="40"/>
        <v>-2.4835542032296081</v>
      </c>
      <c r="DO42" s="1625">
        <f t="shared" si="41"/>
        <v>-1.8749024669624115</v>
      </c>
      <c r="DP42" s="1625">
        <f t="shared" si="42"/>
        <v>-2.5593059324009655</v>
      </c>
      <c r="DQ42" s="1625">
        <f t="shared" si="43"/>
        <v>-2.3011216721687253</v>
      </c>
      <c r="DR42" s="1625">
        <f t="shared" si="44"/>
        <v>-2.9832059023284168</v>
      </c>
      <c r="DS42" s="1625">
        <f t="shared" si="45"/>
        <v>-2.3411097107291288</v>
      </c>
      <c r="DT42" s="1625">
        <f t="shared" si="46"/>
        <v>-2.5248042409723261</v>
      </c>
      <c r="DU42" s="1661">
        <f t="shared" si="47"/>
        <v>-2.7981146995279502</v>
      </c>
      <c r="DV42" s="1625" t="e">
        <f t="shared" si="48"/>
        <v>#DIV/0!</v>
      </c>
      <c r="DW42" s="1625" t="e">
        <f t="shared" si="49"/>
        <v>#DIV/0!</v>
      </c>
      <c r="DX42" s="2132"/>
      <c r="DY42" s="1963" t="str">
        <f>CI42</f>
        <v>Periodens resultat per aktie (efter skatt), kr*</v>
      </c>
      <c r="DZ42" s="1964"/>
      <c r="EA42" s="1965">
        <f t="shared" ref="EA42:EF42" si="299">(EA$35-EA$38)/(EA$96)*1000000</f>
        <v>6.4518853004720498</v>
      </c>
      <c r="EB42" s="1964">
        <f t="shared" si="299"/>
        <v>-4.1121672168725344E-2</v>
      </c>
      <c r="EC42" s="1965">
        <f t="shared" si="299"/>
        <v>8.3770810594997229</v>
      </c>
      <c r="ED42" s="1964">
        <f t="shared" si="299"/>
        <v>3.0495723954303098</v>
      </c>
      <c r="EE42" s="1965">
        <f t="shared" si="299"/>
        <v>5.0827654464421776</v>
      </c>
      <c r="EF42" s="1964">
        <f t="shared" si="299"/>
        <v>-0.24474321762723697</v>
      </c>
      <c r="EG42" s="2130"/>
      <c r="EH42" s="242"/>
      <c r="EI42" s="242"/>
      <c r="EK42" s="1963" t="s">
        <v>391</v>
      </c>
      <c r="EL42" s="1964"/>
      <c r="EM42" s="1965">
        <f>EA42</f>
        <v>6.4518853004720498</v>
      </c>
      <c r="EN42" s="1964">
        <f t="shared" si="75"/>
        <v>-4.1121672168725344E-2</v>
      </c>
      <c r="EO42" s="1965">
        <f t="shared" si="76"/>
        <v>8.3770810594997229</v>
      </c>
      <c r="EP42" s="1964">
        <f t="shared" si="77"/>
        <v>3.0495723954303098</v>
      </c>
      <c r="EQ42" s="1965">
        <f t="shared" si="78"/>
        <v>5.0827654464421776</v>
      </c>
      <c r="ER42" s="1964">
        <f t="shared" si="79"/>
        <v>-0.24474321762723697</v>
      </c>
      <c r="ET42" s="242"/>
      <c r="EU42" s="242"/>
      <c r="EV42" s="242"/>
      <c r="EW42" s="2156" t="str">
        <f>EW27</f>
        <v>Eget kapital hänförligt till moderbolagets aktieägare, Mkr</v>
      </c>
      <c r="EX42" s="908">
        <f t="shared" ref="EX42:FC42" si="300">HJ67</f>
        <v>794.7</v>
      </c>
      <c r="EY42" s="909">
        <f t="shared" si="300"/>
        <v>681.69999999999993</v>
      </c>
      <c r="EZ42" s="908">
        <f t="shared" si="300"/>
        <v>794.7</v>
      </c>
      <c r="FA42" s="909">
        <f t="shared" si="300"/>
        <v>681.69999999999993</v>
      </c>
      <c r="FB42" s="2032">
        <f t="shared" si="300"/>
        <v>794.7</v>
      </c>
      <c r="FC42" s="908">
        <f t="shared" si="300"/>
        <v>698.8</v>
      </c>
      <c r="FD42" s="310"/>
      <c r="FE42" s="310"/>
      <c r="FF42" s="921" t="str">
        <f>FF27</f>
        <v>Equity per share, kr</v>
      </c>
      <c r="FG42" s="908">
        <f t="shared" si="297"/>
        <v>107.40640627111772</v>
      </c>
      <c r="FH42" s="909">
        <f t="shared" si="297"/>
        <v>92.134072171915122</v>
      </c>
      <c r="FI42" s="908">
        <f t="shared" si="297"/>
        <v>107.40640627111772</v>
      </c>
      <c r="FJ42" s="909">
        <f t="shared" si="297"/>
        <v>92.134072171915122</v>
      </c>
      <c r="FK42" s="2032">
        <f t="shared" si="297"/>
        <v>107.40640627111772</v>
      </c>
      <c r="FL42" s="908">
        <f t="shared" si="297"/>
        <v>94.445195296661709</v>
      </c>
      <c r="FM42" s="310"/>
      <c r="FN42" s="310"/>
      <c r="FO42" s="310"/>
      <c r="FP42" s="310"/>
      <c r="FQ42" s="310"/>
      <c r="FR42" s="310"/>
      <c r="FS42" s="242"/>
      <c r="FT42" s="242"/>
      <c r="FU42" s="242"/>
      <c r="FV42" s="242"/>
      <c r="FW42" s="242"/>
      <c r="FX42" s="242"/>
      <c r="FY42" s="242"/>
      <c r="FZ42" s="242"/>
      <c r="GA42" s="242"/>
      <c r="GB42" s="242"/>
      <c r="GC42" s="310"/>
      <c r="GD42" s="310"/>
      <c r="GE42" s="310"/>
      <c r="GF42" s="310"/>
      <c r="GG42" s="310"/>
      <c r="GH42" s="310"/>
      <c r="GI42" s="310"/>
      <c r="GJ42" s="310"/>
      <c r="GK42" s="310"/>
      <c r="GL42" s="310"/>
      <c r="GM42" s="310"/>
      <c r="GN42" s="310"/>
      <c r="GO42" s="310"/>
      <c r="GP42" s="310"/>
      <c r="GQ42" s="310"/>
      <c r="GR42" s="310"/>
      <c r="GS42" s="310"/>
      <c r="GT42" s="890"/>
      <c r="GU42" s="412" t="s">
        <v>357</v>
      </c>
      <c r="GV42" s="242"/>
      <c r="GW42" s="1989">
        <f>GW41/GW40</f>
        <v>0.55300651689564662</v>
      </c>
      <c r="GX42" s="1989">
        <f t="shared" ref="GX42:HH42" si="301">GX41/GX40</f>
        <v>0.55573033386692261</v>
      </c>
      <c r="GY42" s="1989">
        <f t="shared" si="301"/>
        <v>0.58351903588009435</v>
      </c>
      <c r="GZ42" s="1989">
        <f t="shared" si="301"/>
        <v>0.60409947790411178</v>
      </c>
      <c r="HA42" s="1989">
        <f t="shared" si="301"/>
        <v>0.59921583931088207</v>
      </c>
      <c r="HB42" s="1989">
        <f t="shared" si="301"/>
        <v>0.58615214237918123</v>
      </c>
      <c r="HC42" s="1989">
        <f t="shared" si="301"/>
        <v>0.59478266614251196</v>
      </c>
      <c r="HD42" s="1989">
        <f t="shared" si="301"/>
        <v>0.61253850537053989</v>
      </c>
      <c r="HE42" s="1989">
        <f t="shared" si="301"/>
        <v>0.607758549859581</v>
      </c>
      <c r="HF42" s="1989">
        <f t="shared" si="301"/>
        <v>0.63383596721233104</v>
      </c>
      <c r="HG42" s="1989" t="e">
        <f t="shared" si="301"/>
        <v>#DIV/0!</v>
      </c>
      <c r="HH42" s="1989" t="e">
        <f t="shared" si="301"/>
        <v>#DIV/0!</v>
      </c>
      <c r="HJ42" s="2065">
        <f t="shared" ref="HJ42:HO42" si="302">HJ118/HJ40</f>
        <v>0.64457238936489725</v>
      </c>
      <c r="HK42" s="2068">
        <f t="shared" si="302"/>
        <v>0.5986463986254672</v>
      </c>
      <c r="HL42" s="2065">
        <f t="shared" si="302"/>
        <v>0.64457238936489725</v>
      </c>
      <c r="HM42" s="2068">
        <f t="shared" si="302"/>
        <v>0.5986463986254672</v>
      </c>
      <c r="HN42" s="2065">
        <f t="shared" si="302"/>
        <v>0.64457238936489725</v>
      </c>
      <c r="HO42" s="2069">
        <f t="shared" si="302"/>
        <v>0.62577556580424043</v>
      </c>
      <c r="HP42" s="1999"/>
      <c r="HQ42" s="310"/>
      <c r="HR42" s="310"/>
      <c r="HS42" s="310"/>
      <c r="HT42" s="310"/>
      <c r="HU42" s="310"/>
      <c r="HV42" s="310"/>
      <c r="HW42" s="310"/>
      <c r="HX42" s="310"/>
      <c r="HY42" s="310"/>
      <c r="HZ42" s="892"/>
      <c r="IA42" s="412" t="s">
        <v>358</v>
      </c>
      <c r="IB42" s="2065">
        <f t="shared" si="291"/>
        <v>0.64457238936489725</v>
      </c>
      <c r="IC42" s="2068">
        <f t="shared" si="291"/>
        <v>0.5986463986254672</v>
      </c>
      <c r="ID42" s="2065">
        <f t="shared" si="291"/>
        <v>0.64457238936489725</v>
      </c>
      <c r="IE42" s="2068">
        <f t="shared" si="291"/>
        <v>0.5986463986254672</v>
      </c>
      <c r="IF42" s="2065">
        <f t="shared" si="291"/>
        <v>0.64457238936489725</v>
      </c>
      <c r="IG42" s="2069">
        <f t="shared" si="291"/>
        <v>0.62577556580424043</v>
      </c>
      <c r="IH42" s="1220"/>
      <c r="IJ42" s="1678">
        <f t="shared" si="173"/>
        <v>0</v>
      </c>
      <c r="IK42" s="264">
        <f t="shared" si="23"/>
        <v>32</v>
      </c>
      <c r="IL42" s="242"/>
      <c r="IM42" s="242"/>
      <c r="IN42" s="1190" t="str">
        <f>IX42</f>
        <v>Periodens resultat per aktie (efter skatt), kr*</v>
      </c>
      <c r="IO42" s="1699"/>
      <c r="IP42" s="1699"/>
      <c r="IQ42" s="1699"/>
      <c r="IR42" s="242"/>
      <c r="IS42" s="242"/>
      <c r="IT42" s="1678">
        <f t="shared" si="174"/>
        <v>0</v>
      </c>
      <c r="IU42" s="264">
        <f t="shared" si="24"/>
        <v>32</v>
      </c>
      <c r="IV42" s="242"/>
      <c r="IW42" s="242"/>
      <c r="IX42" s="1723" t="s">
        <v>361</v>
      </c>
      <c r="IY42" s="1190"/>
      <c r="IZ42" s="1239">
        <f>AX42</f>
        <v>9.25</v>
      </c>
      <c r="JA42" s="1699">
        <f t="shared" si="86"/>
        <v>-2.7981146995279502</v>
      </c>
      <c r="JB42" s="1239">
        <f>SUM(EA42)</f>
        <v>6.4518853004720498</v>
      </c>
      <c r="JC42" s="242"/>
      <c r="JD42" s="242"/>
      <c r="JE42" s="242"/>
      <c r="JF42" s="2053" t="str">
        <f>IX42</f>
        <v>Periodens resultat per aktie (efter skatt), kr*</v>
      </c>
      <c r="JG42" s="1984">
        <f>IZ42</f>
        <v>9.25</v>
      </c>
      <c r="JH42" s="2054">
        <f t="shared" si="292"/>
        <v>-2.7981146995279502</v>
      </c>
      <c r="JI42" s="1984">
        <f t="shared" si="292"/>
        <v>6.4518853004720498</v>
      </c>
      <c r="JJ42" s="244"/>
      <c r="JK42" s="242"/>
      <c r="JL42" s="242"/>
      <c r="JM42" s="2053" t="s">
        <v>272</v>
      </c>
      <c r="JN42" s="1984">
        <f t="shared" si="87"/>
        <v>9.25</v>
      </c>
      <c r="JO42" s="2054">
        <f t="shared" si="148"/>
        <v>-2.7981146995279502</v>
      </c>
      <c r="JP42" s="1984">
        <f t="shared" si="88"/>
        <v>6.4518853004720498</v>
      </c>
      <c r="JQ42" s="242"/>
    </row>
    <row r="43" spans="2:277" s="269" customFormat="1" outlineLevel="1" x14ac:dyDescent="0.2">
      <c r="B43" s="264">
        <f t="shared" si="27"/>
        <v>34</v>
      </c>
      <c r="D43" s="358"/>
      <c r="E43" s="358"/>
      <c r="G43" s="1072"/>
      <c r="H43" s="1072"/>
      <c r="I43" s="1072"/>
      <c r="J43" s="1072"/>
      <c r="K43" s="1072"/>
      <c r="L43" s="1072"/>
      <c r="M43" s="1072"/>
      <c r="N43" s="1072"/>
      <c r="O43" s="1072"/>
      <c r="P43" s="1072"/>
      <c r="Q43" s="1072"/>
      <c r="R43" s="1072"/>
      <c r="S43" s="1072"/>
      <c r="T43" s="1087"/>
      <c r="U43" s="1087"/>
      <c r="V43" s="1087"/>
      <c r="W43" s="1087"/>
      <c r="X43" s="1087"/>
      <c r="Y43" s="1087"/>
      <c r="Z43" s="1087"/>
      <c r="AA43" s="1087"/>
      <c r="AB43" s="1087"/>
      <c r="AC43" s="1087"/>
      <c r="AD43" s="1087"/>
      <c r="AE43" s="1087"/>
      <c r="AV43" s="1663"/>
      <c r="AW43" s="1961"/>
      <c r="AX43" s="1765"/>
      <c r="AY43" s="1766"/>
      <c r="AZ43" s="1765"/>
      <c r="BA43" s="1766"/>
      <c r="BB43" s="1765"/>
      <c r="BC43" s="1766"/>
      <c r="BE43" s="1663"/>
      <c r="BF43" s="1961"/>
      <c r="BG43" s="2333"/>
      <c r="BH43" s="2334"/>
      <c r="BI43" s="2333"/>
      <c r="BJ43" s="2334"/>
      <c r="BK43" s="2333"/>
      <c r="BL43" s="2334"/>
      <c r="BN43" s="242"/>
      <c r="BP43" s="354"/>
      <c r="BQ43" s="353"/>
      <c r="BR43" s="354"/>
      <c r="BS43" s="354"/>
      <c r="BT43" s="354"/>
      <c r="BU43" s="354"/>
      <c r="BV43" s="354"/>
      <c r="BW43" s="354"/>
      <c r="BX43" s="354"/>
      <c r="BY43" s="354"/>
      <c r="BZ43" s="354"/>
      <c r="CA43" s="354"/>
      <c r="CB43" s="354"/>
      <c r="CE43" s="1288">
        <f t="shared" si="171"/>
        <v>0</v>
      </c>
      <c r="CF43" s="281">
        <f t="shared" si="36"/>
        <v>33</v>
      </c>
      <c r="CI43" s="354"/>
      <c r="CJ43" s="353"/>
      <c r="CK43" s="981"/>
      <c r="CL43" s="981"/>
      <c r="CM43" s="981"/>
      <c r="CN43" s="981"/>
      <c r="CO43" s="981"/>
      <c r="CP43" s="981"/>
      <c r="CQ43" s="981"/>
      <c r="CR43" s="981"/>
      <c r="CS43" s="981"/>
      <c r="CT43" s="981"/>
      <c r="CU43" s="981"/>
      <c r="CV43" s="981"/>
      <c r="CW43" s="369"/>
      <c r="CX43" s="1008"/>
      <c r="CY43" s="1008"/>
      <c r="CZ43" s="1008"/>
      <c r="DA43" s="1008"/>
      <c r="DB43" s="1008"/>
      <c r="DC43" s="1008"/>
      <c r="DD43" s="1008"/>
      <c r="DE43" s="1008"/>
      <c r="DF43" s="1008"/>
      <c r="DG43" s="1008"/>
      <c r="DH43" s="1008"/>
      <c r="DI43" s="1008"/>
      <c r="DJ43" s="244"/>
      <c r="DK43" s="1642">
        <f t="shared" si="73"/>
        <v>0</v>
      </c>
      <c r="DL43" s="1625">
        <f t="shared" si="38"/>
        <v>0</v>
      </c>
      <c r="DM43" s="1625">
        <f t="shared" si="39"/>
        <v>0</v>
      </c>
      <c r="DN43" s="1625">
        <f t="shared" si="40"/>
        <v>0</v>
      </c>
      <c r="DO43" s="1625">
        <f t="shared" si="41"/>
        <v>0</v>
      </c>
      <c r="DP43" s="1625">
        <f t="shared" si="42"/>
        <v>0</v>
      </c>
      <c r="DQ43" s="1625">
        <f t="shared" si="43"/>
        <v>0</v>
      </c>
      <c r="DR43" s="1625">
        <f t="shared" si="44"/>
        <v>0</v>
      </c>
      <c r="DS43" s="1625">
        <f t="shared" si="45"/>
        <v>0</v>
      </c>
      <c r="DT43" s="1625">
        <f t="shared" si="46"/>
        <v>0</v>
      </c>
      <c r="DU43" s="1625">
        <f t="shared" si="47"/>
        <v>0</v>
      </c>
      <c r="DV43" s="1625">
        <f t="shared" si="48"/>
        <v>0</v>
      </c>
      <c r="DW43" s="1625">
        <f t="shared" si="49"/>
        <v>0</v>
      </c>
      <c r="DX43" s="282"/>
      <c r="DY43" s="1663"/>
      <c r="DZ43" s="1961"/>
      <c r="EA43" s="1765"/>
      <c r="EB43" s="1766"/>
      <c r="EC43" s="1765"/>
      <c r="ED43" s="1766"/>
      <c r="EE43" s="1765"/>
      <c r="EF43" s="1766"/>
      <c r="EH43" s="242"/>
      <c r="EI43" s="242"/>
      <c r="EK43" s="1966"/>
      <c r="EL43" s="1967"/>
      <c r="EM43" s="1968"/>
      <c r="EN43" s="1969"/>
      <c r="EO43" s="1968"/>
      <c r="EP43" s="1969"/>
      <c r="EQ43" s="1968"/>
      <c r="ER43" s="1969"/>
      <c r="ET43" s="242"/>
      <c r="EU43" s="242"/>
      <c r="EV43" s="242"/>
      <c r="EW43" s="2156" t="str">
        <f>EW28</f>
        <v>Eget kapital per aktie, kr</v>
      </c>
      <c r="EX43" s="908">
        <f t="shared" ref="EX43:FC43" si="303">HJ74</f>
        <v>107.40640627111772</v>
      </c>
      <c r="EY43" s="909">
        <f t="shared" si="303"/>
        <v>92.134072171915122</v>
      </c>
      <c r="EZ43" s="908">
        <f t="shared" si="303"/>
        <v>107.40640627111772</v>
      </c>
      <c r="FA43" s="909">
        <f t="shared" si="303"/>
        <v>92.134072171915122</v>
      </c>
      <c r="FB43" s="2032">
        <f t="shared" si="303"/>
        <v>107.40640627111772</v>
      </c>
      <c r="FC43" s="908">
        <f t="shared" si="303"/>
        <v>94.445195296661709</v>
      </c>
      <c r="FD43" s="310"/>
      <c r="FE43" s="310"/>
      <c r="FF43" s="922" t="str">
        <f>FF28</f>
        <v>Total assets, MSEK</v>
      </c>
      <c r="FG43" s="916">
        <f t="shared" si="297"/>
        <v>1478.1999999999998</v>
      </c>
      <c r="FH43" s="2033">
        <f t="shared" si="297"/>
        <v>1473.3</v>
      </c>
      <c r="FI43" s="916">
        <f t="shared" si="297"/>
        <v>1478.1999999999998</v>
      </c>
      <c r="FJ43" s="2033">
        <f t="shared" si="297"/>
        <v>1473.3</v>
      </c>
      <c r="FK43" s="2033">
        <f t="shared" si="297"/>
        <v>1478.1999999999998</v>
      </c>
      <c r="FL43" s="916">
        <f t="shared" si="297"/>
        <v>1400.6</v>
      </c>
      <c r="FM43" s="310"/>
      <c r="FN43" s="310"/>
      <c r="FO43" s="310"/>
      <c r="FP43" s="310"/>
      <c r="FQ43" s="310"/>
      <c r="FR43" s="310"/>
      <c r="FS43" s="242"/>
      <c r="FT43" s="242"/>
      <c r="FU43" s="242"/>
      <c r="FV43" s="242"/>
      <c r="FW43" s="242"/>
      <c r="FX43" s="242"/>
      <c r="FY43" s="242"/>
      <c r="FZ43" s="242"/>
      <c r="GA43" s="242"/>
      <c r="GB43" s="242"/>
      <c r="GC43" s="310"/>
      <c r="GD43" s="310"/>
      <c r="GE43" s="310"/>
      <c r="GF43" s="310"/>
      <c r="GG43" s="310"/>
      <c r="GH43" s="310"/>
      <c r="GI43" s="310"/>
      <c r="GJ43" s="310"/>
      <c r="GK43" s="310"/>
      <c r="GL43" s="310"/>
      <c r="GM43" s="310"/>
      <c r="GN43" s="310"/>
      <c r="GO43" s="310"/>
      <c r="GP43" s="310"/>
      <c r="GQ43" s="310"/>
      <c r="GR43" s="310"/>
      <c r="GS43" s="310"/>
      <c r="GT43" s="890"/>
      <c r="GU43" s="412" t="s">
        <v>362</v>
      </c>
      <c r="GV43" s="242"/>
      <c r="GW43" s="1993">
        <f t="shared" ref="GW43:HH43" si="304">GW119</f>
        <v>1.1398909360394687E-2</v>
      </c>
      <c r="GX43" s="1993">
        <f t="shared" si="304"/>
        <v>-2.0497291067623283E-3</v>
      </c>
      <c r="GY43" s="1993">
        <f t="shared" si="304"/>
        <v>5.827832617361902E-2</v>
      </c>
      <c r="GZ43" s="1993">
        <f t="shared" si="304"/>
        <v>3.99526057388487E-2</v>
      </c>
      <c r="HA43" s="1993">
        <f t="shared" si="304"/>
        <v>4.5244033805341977E-2</v>
      </c>
      <c r="HB43" s="1993">
        <f t="shared" si="304"/>
        <v>8.0045982438111479E-2</v>
      </c>
      <c r="HC43" s="1993">
        <f t="shared" si="304"/>
        <v>9.6599151325902785E-2</v>
      </c>
      <c r="HD43" s="1993">
        <f t="shared" si="304"/>
        <v>0.11760545867220602</v>
      </c>
      <c r="HE43" s="1993">
        <f t="shared" si="304"/>
        <v>0.10213859240748427</v>
      </c>
      <c r="HF43" s="1993">
        <f t="shared" si="304"/>
        <v>6.5544605022917105E-2</v>
      </c>
      <c r="HG43" s="1993" t="e">
        <f t="shared" si="304"/>
        <v>#DIV/0!</v>
      </c>
      <c r="HH43" s="1993" t="e">
        <f t="shared" si="304"/>
        <v>#DIV/0!</v>
      </c>
      <c r="HJ43" s="1203">
        <f t="shared" ref="HJ43:HO43" si="305">HJ119</f>
        <v>6.5544605022917105E-2</v>
      </c>
      <c r="HK43" s="1204">
        <f t="shared" si="305"/>
        <v>8.0045982438111479E-2</v>
      </c>
      <c r="HL43" s="1203">
        <f t="shared" si="305"/>
        <v>6.5544605022917105E-2</v>
      </c>
      <c r="HM43" s="1204">
        <f t="shared" si="305"/>
        <v>8.0045982438111479E-2</v>
      </c>
      <c r="HN43" s="1203">
        <f t="shared" si="305"/>
        <v>6.5544605022917105E-2</v>
      </c>
      <c r="HO43" s="2017">
        <f t="shared" si="305"/>
        <v>0.11760545867220602</v>
      </c>
      <c r="HP43" s="1999"/>
      <c r="HQ43" s="310"/>
      <c r="HR43" s="310"/>
      <c r="HS43" s="310"/>
      <c r="HT43" s="310"/>
      <c r="HU43" s="310"/>
      <c r="HV43" s="310"/>
      <c r="HW43" s="310"/>
      <c r="HX43" s="310"/>
      <c r="HY43" s="310"/>
      <c r="HZ43" s="892"/>
      <c r="IA43" s="412" t="s">
        <v>266</v>
      </c>
      <c r="IB43" s="2066">
        <f t="shared" si="291"/>
        <v>6.5544605022917105E-2</v>
      </c>
      <c r="IC43" s="2067">
        <f t="shared" si="291"/>
        <v>8.0045982438111479E-2</v>
      </c>
      <c r="ID43" s="2066">
        <f t="shared" si="291"/>
        <v>6.5544605022917105E-2</v>
      </c>
      <c r="IE43" s="2067">
        <f t="shared" si="291"/>
        <v>8.0045982438111479E-2</v>
      </c>
      <c r="IF43" s="2066">
        <f t="shared" si="291"/>
        <v>6.5544605022917105E-2</v>
      </c>
      <c r="IG43" s="2070">
        <f t="shared" si="291"/>
        <v>0.11760545867220602</v>
      </c>
      <c r="IH43" s="1219"/>
      <c r="IJ43" s="1678">
        <f t="shared" si="173"/>
        <v>0</v>
      </c>
      <c r="IK43" s="264">
        <f t="shared" si="23"/>
        <v>33</v>
      </c>
      <c r="IL43" s="242"/>
      <c r="IM43" s="242"/>
      <c r="IN43" s="1183"/>
      <c r="IO43" s="1242"/>
      <c r="IP43" s="1242"/>
      <c r="IQ43" s="1242"/>
      <c r="IR43" s="242"/>
      <c r="IS43" s="242"/>
      <c r="IT43" s="1678">
        <f t="shared" si="174"/>
        <v>0</v>
      </c>
      <c r="IU43" s="264">
        <f t="shared" si="24"/>
        <v>33</v>
      </c>
      <c r="IV43" s="242"/>
      <c r="IW43" s="242"/>
      <c r="IX43" s="1183"/>
      <c r="IY43" s="1183"/>
      <c r="IZ43" s="1232"/>
      <c r="JA43" s="1242"/>
      <c r="JB43" s="1232"/>
      <c r="JC43" s="242"/>
      <c r="JD43" s="242"/>
      <c r="JE43" s="242"/>
      <c r="JF43" s="1663"/>
      <c r="JG43" s="1765"/>
      <c r="JH43" s="1766"/>
      <c r="JI43" s="1765"/>
      <c r="JJ43" s="242"/>
      <c r="JK43" s="242"/>
      <c r="JL43" s="242"/>
      <c r="JM43" s="1966"/>
      <c r="JN43" s="1968"/>
      <c r="JO43" s="1969"/>
      <c r="JP43" s="1968"/>
      <c r="JQ43" s="242"/>
    </row>
    <row r="44" spans="2:277" s="269" customFormat="1" ht="12.6" customHeight="1" outlineLevel="1" x14ac:dyDescent="0.2">
      <c r="B44" s="264">
        <f t="shared" si="27"/>
        <v>35</v>
      </c>
      <c r="D44" s="358" t="str">
        <f>+[2]rapkvart!$B37</f>
        <v>Övrigt totalresultat</v>
      </c>
      <c r="E44" s="358"/>
      <c r="G44" s="1081"/>
      <c r="H44" s="1081"/>
      <c r="I44" s="1081"/>
      <c r="J44" s="1081"/>
      <c r="K44" s="1081"/>
      <c r="L44" s="1081"/>
      <c r="M44" s="1081"/>
      <c r="N44" s="1081"/>
      <c r="O44" s="1081"/>
      <c r="P44" s="1081"/>
      <c r="Q44" s="1081"/>
      <c r="R44" s="1081"/>
      <c r="S44" s="1072"/>
      <c r="T44" s="1088"/>
      <c r="U44" s="1088"/>
      <c r="V44" s="1088"/>
      <c r="W44" s="1088"/>
      <c r="X44" s="1088"/>
      <c r="Y44" s="1088"/>
      <c r="Z44" s="1088"/>
      <c r="AA44" s="1088"/>
      <c r="AB44" s="1088"/>
      <c r="AC44" s="1088"/>
      <c r="AD44" s="1088"/>
      <c r="AE44" s="1088"/>
      <c r="AV44" s="1962" t="str">
        <f t="shared" ref="AV44:AV56" si="306">D44</f>
        <v>Övrigt totalresultat</v>
      </c>
      <c r="AW44" s="1664"/>
      <c r="AX44" s="1765"/>
      <c r="AY44" s="1875"/>
      <c r="AZ44" s="1765"/>
      <c r="BA44" s="1875"/>
      <c r="BB44" s="1765"/>
      <c r="BC44" s="1875"/>
      <c r="BE44" s="1962" t="s">
        <v>367</v>
      </c>
      <c r="BF44" s="1664"/>
      <c r="BG44" s="2333"/>
      <c r="BH44" s="2332"/>
      <c r="BI44" s="2333"/>
      <c r="BJ44" s="2332"/>
      <c r="BK44" s="2333"/>
      <c r="BL44" s="2332"/>
      <c r="BN44" s="242"/>
      <c r="BP44" s="370" t="str">
        <f t="shared" ref="BP44:BP58" si="307">CI44</f>
        <v>Övrigt totalresultat</v>
      </c>
      <c r="BQ44" s="371"/>
      <c r="BR44" s="370"/>
      <c r="BS44" s="370"/>
      <c r="BT44" s="370"/>
      <c r="BU44" s="370"/>
      <c r="BV44" s="370"/>
      <c r="BW44" s="370"/>
      <c r="BX44" s="370"/>
      <c r="BY44" s="370"/>
      <c r="BZ44" s="370"/>
      <c r="CA44" s="370"/>
      <c r="CB44" s="370"/>
      <c r="CE44" s="1288">
        <f t="shared" si="171"/>
        <v>0</v>
      </c>
      <c r="CF44" s="281">
        <f t="shared" si="36"/>
        <v>34</v>
      </c>
      <c r="CI44" s="370" t="s">
        <v>368</v>
      </c>
      <c r="CJ44" s="371"/>
      <c r="CK44" s="1281"/>
      <c r="CL44" s="1281"/>
      <c r="CM44" s="1281"/>
      <c r="CN44" s="1281"/>
      <c r="CO44" s="1281"/>
      <c r="CP44" s="1281"/>
      <c r="CQ44" s="1281"/>
      <c r="CR44" s="1281"/>
      <c r="CS44" s="1281"/>
      <c r="CT44" s="1281"/>
      <c r="CU44" s="1281"/>
      <c r="CV44" s="1281"/>
      <c r="CW44" s="1011"/>
      <c r="CX44" s="1008"/>
      <c r="CY44" s="1008"/>
      <c r="CZ44" s="1008"/>
      <c r="DA44" s="1008"/>
      <c r="DB44" s="1008"/>
      <c r="DC44" s="1008"/>
      <c r="DD44" s="1008"/>
      <c r="DE44" s="1008"/>
      <c r="DF44" s="1008"/>
      <c r="DG44" s="1008"/>
      <c r="DH44" s="1008"/>
      <c r="DI44" s="1008"/>
      <c r="DJ44" s="244"/>
      <c r="DK44" s="1642" t="str">
        <f t="shared" si="73"/>
        <v>Övrigt totalresultat</v>
      </c>
      <c r="DL44" s="1625">
        <f t="shared" si="38"/>
        <v>0</v>
      </c>
      <c r="DM44" s="1625">
        <f t="shared" si="39"/>
        <v>0</v>
      </c>
      <c r="DN44" s="1625">
        <f t="shared" si="40"/>
        <v>0</v>
      </c>
      <c r="DO44" s="1625">
        <f t="shared" si="41"/>
        <v>0</v>
      </c>
      <c r="DP44" s="1625">
        <f t="shared" si="42"/>
        <v>0</v>
      </c>
      <c r="DQ44" s="1625">
        <f t="shared" si="43"/>
        <v>0</v>
      </c>
      <c r="DR44" s="1625">
        <f t="shared" si="44"/>
        <v>0</v>
      </c>
      <c r="DS44" s="1625">
        <f t="shared" si="45"/>
        <v>0</v>
      </c>
      <c r="DT44" s="1625">
        <f t="shared" si="46"/>
        <v>0</v>
      </c>
      <c r="DU44" s="1625">
        <f t="shared" si="47"/>
        <v>0</v>
      </c>
      <c r="DV44" s="1625">
        <f t="shared" si="48"/>
        <v>0</v>
      </c>
      <c r="DW44" s="1625">
        <f t="shared" si="49"/>
        <v>0</v>
      </c>
      <c r="DX44" s="282"/>
      <c r="DY44" s="1962" t="str">
        <f t="shared" ref="DY44:DY58" si="308">CI44</f>
        <v>Övrigt totalresultat</v>
      </c>
      <c r="DZ44" s="1664"/>
      <c r="EA44" s="1765"/>
      <c r="EB44" s="1875"/>
      <c r="EC44" s="1765"/>
      <c r="ED44" s="1875"/>
      <c r="EE44" s="1765"/>
      <c r="EF44" s="1875"/>
      <c r="EH44" s="242"/>
      <c r="EI44" s="242"/>
      <c r="EK44" s="1970" t="s">
        <v>367</v>
      </c>
      <c r="EL44" s="1971"/>
      <c r="EM44" s="1968"/>
      <c r="EN44" s="1972"/>
      <c r="EO44" s="1968"/>
      <c r="EP44" s="1972"/>
      <c r="EQ44" s="1968"/>
      <c r="ER44" s="1972"/>
      <c r="ET44" s="242"/>
      <c r="EU44" s="242"/>
      <c r="EV44" s="242"/>
      <c r="EW44" s="2158" t="str">
        <f>EW29</f>
        <v>Balansomslutning, Mkr</v>
      </c>
      <c r="EX44" s="916">
        <f t="shared" ref="EX44:FC44" si="309">HJ66</f>
        <v>1478.1999999999998</v>
      </c>
      <c r="EY44" s="2033">
        <f t="shared" si="309"/>
        <v>1473.3</v>
      </c>
      <c r="EZ44" s="916">
        <f t="shared" si="309"/>
        <v>1478.1999999999998</v>
      </c>
      <c r="FA44" s="2033">
        <f t="shared" si="309"/>
        <v>1473.3</v>
      </c>
      <c r="FB44" s="2033">
        <f t="shared" si="309"/>
        <v>1478.1999999999998</v>
      </c>
      <c r="FC44" s="916">
        <f t="shared" si="309"/>
        <v>1400.6</v>
      </c>
      <c r="FD44" s="310"/>
      <c r="FE44" s="310"/>
      <c r="FF44" s="310"/>
      <c r="FG44" s="310"/>
      <c r="FH44" s="310"/>
      <c r="FI44" s="310"/>
      <c r="FJ44" s="310"/>
      <c r="FK44" s="310"/>
      <c r="FL44" s="310"/>
      <c r="FM44" s="310"/>
      <c r="FP44" s="1273"/>
      <c r="FQ44" s="1273"/>
      <c r="FR44" s="1273"/>
      <c r="FS44" s="1273"/>
      <c r="FT44" s="1273"/>
      <c r="FU44" s="1273"/>
      <c r="FV44" s="1273"/>
      <c r="FW44" s="1273"/>
      <c r="FX44" s="1273"/>
      <c r="FY44" s="1273"/>
      <c r="FZ44" s="1273"/>
      <c r="GA44" s="1273"/>
      <c r="GB44" s="1273"/>
      <c r="GC44" s="310"/>
      <c r="GE44" s="310"/>
      <c r="GF44" s="310"/>
      <c r="GG44" s="310"/>
      <c r="GH44" s="310"/>
      <c r="GI44" s="310"/>
      <c r="GJ44" s="310"/>
      <c r="GK44" s="310"/>
      <c r="GL44" s="310"/>
      <c r="GM44" s="310"/>
      <c r="GN44" s="310"/>
      <c r="GO44" s="310"/>
      <c r="GP44" s="310"/>
      <c r="GQ44" s="310"/>
      <c r="GR44" s="310"/>
      <c r="GS44" s="310"/>
      <c r="GT44" s="890"/>
      <c r="GU44" s="412" t="s">
        <v>365</v>
      </c>
      <c r="GV44" s="242"/>
      <c r="GW44" s="1992" t="str">
        <f t="shared" ref="GW44:HH44" si="310">GW189</f>
        <v>N/A</v>
      </c>
      <c r="GX44" s="1992" t="str">
        <f t="shared" si="310"/>
        <v>N/A</v>
      </c>
      <c r="GY44" s="1992" t="str">
        <f t="shared" si="310"/>
        <v>N/A</v>
      </c>
      <c r="GZ44" s="1992" t="str">
        <f t="shared" si="310"/>
        <v>N/A</v>
      </c>
      <c r="HA44" s="1992">
        <f t="shared" si="310"/>
        <v>1.6345014479852216</v>
      </c>
      <c r="HB44" s="1992">
        <f t="shared" si="310"/>
        <v>1.6678293278800851</v>
      </c>
      <c r="HC44" s="1992">
        <f t="shared" si="310"/>
        <v>1.5034434714845464</v>
      </c>
      <c r="HD44" s="1992">
        <f t="shared" si="310"/>
        <v>1.4365514828933987</v>
      </c>
      <c r="HE44" s="1992">
        <f t="shared" si="310"/>
        <v>1.4401346513338122</v>
      </c>
      <c r="HF44" s="1992">
        <f t="shared" si="310"/>
        <v>1.5188400043349446</v>
      </c>
      <c r="HG44" s="1992">
        <f t="shared" si="310"/>
        <v>2.8355610213107161</v>
      </c>
      <c r="HH44" s="1992">
        <f t="shared" si="310"/>
        <v>2.738327587825867</v>
      </c>
      <c r="HJ44" s="2436">
        <f>HJ189</f>
        <v>1.5264056834803734</v>
      </c>
      <c r="HK44" s="2437">
        <f t="shared" ref="HK44:HO44" si="311">HK189</f>
        <v>1.643514110443737</v>
      </c>
      <c r="HL44" s="2436">
        <f t="shared" si="311"/>
        <v>1.5188400043349446</v>
      </c>
      <c r="HM44" s="2438">
        <f t="shared" si="311"/>
        <v>1.6678293278800851</v>
      </c>
      <c r="HN44" s="2436">
        <f t="shared" si="311"/>
        <v>1.3969861857342234</v>
      </c>
      <c r="HO44" s="2439">
        <f t="shared" si="311"/>
        <v>1.4365514828933987</v>
      </c>
      <c r="HP44" s="1999"/>
      <c r="HQ44" s="310"/>
      <c r="HR44" s="310"/>
      <c r="HS44" s="310"/>
      <c r="HT44" s="310"/>
      <c r="HU44" s="310"/>
      <c r="HV44" s="310"/>
      <c r="HW44" s="310"/>
      <c r="HX44" s="310"/>
      <c r="HY44" s="310"/>
      <c r="HZ44" s="892"/>
      <c r="IA44" s="412" t="s">
        <v>366</v>
      </c>
      <c r="IB44" s="2066">
        <f t="shared" si="291"/>
        <v>1.5264056834803734</v>
      </c>
      <c r="IC44" s="2067">
        <f t="shared" si="291"/>
        <v>1.643514110443737</v>
      </c>
      <c r="ID44" s="2066">
        <f t="shared" si="291"/>
        <v>1.5188400043349446</v>
      </c>
      <c r="IE44" s="2067">
        <f t="shared" si="291"/>
        <v>1.6678293278800851</v>
      </c>
      <c r="IF44" s="2066">
        <f t="shared" si="291"/>
        <v>1.3969861857342234</v>
      </c>
      <c r="IG44" s="2070">
        <f t="shared" si="291"/>
        <v>1.4365514828933987</v>
      </c>
      <c r="IH44" s="1219"/>
      <c r="IJ44" s="1678">
        <f t="shared" si="173"/>
        <v>0</v>
      </c>
      <c r="IK44" s="264">
        <f t="shared" si="23"/>
        <v>34</v>
      </c>
      <c r="IL44" s="242"/>
      <c r="IM44" s="242"/>
      <c r="IN44" s="1676" t="str">
        <f t="shared" ref="IN44:IN48" si="312">IX44</f>
        <v>Övrigt totalresultat</v>
      </c>
      <c r="IO44" s="1242"/>
      <c r="IP44" s="1242"/>
      <c r="IQ44" s="1242"/>
      <c r="IR44" s="242"/>
      <c r="IS44" s="242"/>
      <c r="IT44" s="1678">
        <f t="shared" si="174"/>
        <v>0</v>
      </c>
      <c r="IU44" s="264">
        <f t="shared" si="24"/>
        <v>34</v>
      </c>
      <c r="IV44" s="242"/>
      <c r="IW44" s="242"/>
      <c r="IX44" s="1676" t="s">
        <v>368</v>
      </c>
      <c r="IY44" s="1676"/>
      <c r="IZ44" s="1232"/>
      <c r="JA44" s="1242"/>
      <c r="JB44" s="1232"/>
      <c r="JC44" s="242"/>
      <c r="JD44" s="242"/>
      <c r="JE44" s="242"/>
      <c r="JF44" s="1962" t="str">
        <f t="shared" ref="JF44:JF48" si="313">IX44</f>
        <v>Övrigt totalresultat</v>
      </c>
      <c r="JG44" s="1765"/>
      <c r="JH44" s="1766"/>
      <c r="JI44" s="1765"/>
      <c r="JJ44" s="242"/>
      <c r="JK44" s="242"/>
      <c r="JL44" s="242"/>
      <c r="JM44" s="1970" t="s">
        <v>367</v>
      </c>
      <c r="JN44" s="1968"/>
      <c r="JO44" s="1969"/>
      <c r="JP44" s="1968"/>
      <c r="JQ44" s="242"/>
    </row>
    <row r="45" spans="2:277" s="269" customFormat="1" ht="11.25" customHeight="1" outlineLevel="1" x14ac:dyDescent="0.2">
      <c r="B45" s="264">
        <f t="shared" si="27"/>
        <v>36</v>
      </c>
      <c r="D45" s="368" t="str">
        <f>+[2]rapkvart!$B38</f>
        <v>Periodens resultat</v>
      </c>
      <c r="E45" s="368"/>
      <c r="G45" s="1085">
        <f>[2]rapkvart!S38</f>
        <v>27.500000000000043</v>
      </c>
      <c r="H45" s="1085">
        <f>[2]rapkvart!T38</f>
        <v>69.100000000000108</v>
      </c>
      <c r="I45" s="1085">
        <f>[2]rapkvart!U38</f>
        <v>87.899999999999906</v>
      </c>
      <c r="J45" s="1085">
        <f>[2]rapkvart!V38</f>
        <v>100.10000000000015</v>
      </c>
      <c r="K45" s="1085">
        <f>[2]rapkvart!O38</f>
        <v>43.400000000000063</v>
      </c>
      <c r="L45" s="1085">
        <f>[2]rapkvart!P38</f>
        <v>61.499999999999915</v>
      </c>
      <c r="M45" s="1085">
        <f>[2]rapkvart!Q38</f>
        <v>79.200000000000017</v>
      </c>
      <c r="N45" s="1085">
        <f>[2]rapkvart!R38</f>
        <v>78.100000000000108</v>
      </c>
      <c r="O45" s="1085">
        <f>[2]rapkvart!K38</f>
        <v>33.999999999999986</v>
      </c>
      <c r="P45" s="1085">
        <f>[2]rapkvart!L38</f>
        <v>104.00000000000004</v>
      </c>
      <c r="Q45" s="1085">
        <f>[2]rapkvart!M38</f>
        <v>79.200000000000017</v>
      </c>
      <c r="R45" s="1085">
        <f>[2]rapkvart!N38</f>
        <v>78.100000000000108</v>
      </c>
      <c r="S45" s="1072"/>
      <c r="T45" s="1073">
        <f>[2]rapkvart!AE38</f>
        <v>27.500000000000043</v>
      </c>
      <c r="U45" s="1073">
        <f>[2]rapkvart!AF38</f>
        <v>41.600000000000065</v>
      </c>
      <c r="V45" s="1073">
        <f>[2]rapkvart!AG38</f>
        <v>18.799999999999798</v>
      </c>
      <c r="W45" s="1073">
        <f>[2]rapkvart!AH38</f>
        <v>12.200000000000244</v>
      </c>
      <c r="X45" s="1073">
        <f>[2]rapkvart!AA38</f>
        <v>43.400000000000063</v>
      </c>
      <c r="Y45" s="1073">
        <f>[2]rapkvart!AB38</f>
        <v>18.099999999999852</v>
      </c>
      <c r="Z45" s="1073">
        <f>[2]rapkvart!AC38</f>
        <v>17.700000000000102</v>
      </c>
      <c r="AA45" s="1073">
        <f>[2]rapkvart!AD38</f>
        <v>-1.0999999999999091</v>
      </c>
      <c r="AB45" s="1073">
        <f>[2]rapkvart!W38</f>
        <v>33.999999999999986</v>
      </c>
      <c r="AC45" s="1073">
        <f>[2]rapkvart!X38</f>
        <v>70.000000000000057</v>
      </c>
      <c r="AD45" s="1073">
        <f>[2]rapkvart!Y38</f>
        <v>-24.800000000000026</v>
      </c>
      <c r="AE45" s="1073">
        <f>[2]rapkvart!Z38</f>
        <v>-1.0999999999999091</v>
      </c>
      <c r="AV45" s="1183" t="str">
        <f t="shared" si="306"/>
        <v>Periodens resultat</v>
      </c>
      <c r="AW45" s="1182"/>
      <c r="AX45" s="1232">
        <f t="shared" ref="AX45:AX53" si="314">$AC45</f>
        <v>70.000000000000057</v>
      </c>
      <c r="AY45" s="1233">
        <f t="shared" ref="AY45:AY53" si="315">$Y45</f>
        <v>18.099999999999852</v>
      </c>
      <c r="AZ45" s="1232">
        <f t="shared" ref="AZ45:AZ53" si="316">P45</f>
        <v>104.00000000000004</v>
      </c>
      <c r="BA45" s="1233">
        <f t="shared" ref="BA45:BA53" si="317">L45</f>
        <v>61.499999999999915</v>
      </c>
      <c r="BB45" s="1232">
        <f t="shared" ref="BB45:BB53" si="318">SUM(Z45:AC45)</f>
        <v>120.60000000000024</v>
      </c>
      <c r="BC45" s="1233">
        <f t="shared" ref="BC45:BC53" si="319">N45</f>
        <v>78.100000000000108</v>
      </c>
      <c r="BE45" s="1183" t="s">
        <v>334</v>
      </c>
      <c r="BF45" s="1182"/>
      <c r="BG45" s="1232">
        <f t="shared" ref="BG45:BG53" si="320">AX45</f>
        <v>70.000000000000057</v>
      </c>
      <c r="BH45" s="1233">
        <f t="shared" ref="BH45:BH53" si="321">AY45</f>
        <v>18.099999999999852</v>
      </c>
      <c r="BI45" s="1232">
        <f t="shared" ref="BI45:BI53" si="322">AZ45</f>
        <v>104.00000000000004</v>
      </c>
      <c r="BJ45" s="1233">
        <f t="shared" ref="BJ45:BJ53" si="323">BA45</f>
        <v>61.499999999999915</v>
      </c>
      <c r="BK45" s="1232">
        <f t="shared" ref="BK45:BK53" si="324">BB45</f>
        <v>120.60000000000024</v>
      </c>
      <c r="BL45" s="1233">
        <f t="shared" ref="BL45:BL53" si="325">BC45</f>
        <v>78.100000000000108</v>
      </c>
      <c r="BN45" s="242"/>
      <c r="BP45" s="320" t="str">
        <f>CI45</f>
        <v>Periodens resultat</v>
      </c>
      <c r="BQ45" s="321"/>
      <c r="BR45" s="320"/>
      <c r="BS45" s="320"/>
      <c r="BT45" s="320"/>
      <c r="BU45" s="320"/>
      <c r="BV45" s="320"/>
      <c r="BW45" s="320"/>
      <c r="BX45" s="320"/>
      <c r="BY45" s="320"/>
      <c r="BZ45" s="320"/>
      <c r="CA45" s="320"/>
      <c r="CB45" s="320"/>
      <c r="CE45" s="1288">
        <f t="shared" si="171"/>
        <v>0</v>
      </c>
      <c r="CF45" s="281">
        <f t="shared" si="36"/>
        <v>35</v>
      </c>
      <c r="CH45" s="1608"/>
      <c r="CI45" s="1612" t="s">
        <v>371</v>
      </c>
      <c r="CJ45" s="1613"/>
      <c r="CK45" s="1614">
        <f>CK35</f>
        <v>8.9741850000000127</v>
      </c>
      <c r="CL45" s="1614">
        <f t="shared" ref="CL45:CV45" si="326">CL35</f>
        <v>23.583785000000042</v>
      </c>
      <c r="CM45" s="1614">
        <f t="shared" si="326"/>
        <v>0.39898499999985715</v>
      </c>
      <c r="CN45" s="1614">
        <f t="shared" si="326"/>
        <v>-1.5860149999998177</v>
      </c>
      <c r="CO45" s="1614">
        <f t="shared" si="326"/>
        <v>24.460350000000048</v>
      </c>
      <c r="CP45" s="1614">
        <f t="shared" si="326"/>
        <v>1.1017499999998392</v>
      </c>
      <c r="CQ45" s="1614">
        <f t="shared" si="326"/>
        <v>-4.4338499999999357</v>
      </c>
      <c r="CR45" s="1614">
        <f t="shared" si="326"/>
        <v>-18.354049999999912</v>
      </c>
      <c r="CS45" s="1614">
        <f t="shared" si="326"/>
        <v>15.34709025199998</v>
      </c>
      <c r="CT45" s="1614">
        <f t="shared" si="326"/>
        <v>49.273047664000089</v>
      </c>
      <c r="CU45" s="1614">
        <f t="shared" si="326"/>
        <v>-25.113000000000039</v>
      </c>
      <c r="CV45" s="1614">
        <f t="shared" si="326"/>
        <v>1.2776000000000778</v>
      </c>
      <c r="CW45" s="369"/>
      <c r="CX45" s="1008"/>
      <c r="CY45" s="1008"/>
      <c r="CZ45" s="1008"/>
      <c r="DA45" s="1008"/>
      <c r="DB45" s="1008"/>
      <c r="DC45" s="1008"/>
      <c r="DD45" s="1008"/>
      <c r="DE45" s="1008"/>
      <c r="DF45" s="1008"/>
      <c r="DG45" s="1008"/>
      <c r="DH45" s="1008"/>
      <c r="DI45" s="1008"/>
      <c r="DJ45" s="244"/>
      <c r="DK45" s="1644" t="str">
        <f t="shared" si="73"/>
        <v>Periodens resultat</v>
      </c>
      <c r="DL45" s="1626">
        <f t="shared" si="38"/>
        <v>-18.52581500000003</v>
      </c>
      <c r="DM45" s="1626">
        <f t="shared" si="39"/>
        <v>-18.016215000000024</v>
      </c>
      <c r="DN45" s="1626">
        <f t="shared" si="40"/>
        <v>-18.401014999999941</v>
      </c>
      <c r="DO45" s="1626">
        <f t="shared" si="41"/>
        <v>-13.786015000000063</v>
      </c>
      <c r="DP45" s="1626">
        <f t="shared" si="42"/>
        <v>-18.939650000000015</v>
      </c>
      <c r="DQ45" s="1626">
        <f t="shared" si="43"/>
        <v>-16.998250000000013</v>
      </c>
      <c r="DR45" s="1626">
        <f t="shared" si="44"/>
        <v>-22.133850000000038</v>
      </c>
      <c r="DS45" s="1626">
        <f t="shared" si="45"/>
        <v>-17.254050000000003</v>
      </c>
      <c r="DT45" s="1626">
        <f t="shared" si="46"/>
        <v>-18.652909748000006</v>
      </c>
      <c r="DU45" s="1660">
        <f t="shared" si="47"/>
        <v>-20.726952335999968</v>
      </c>
      <c r="DV45" s="1626">
        <f t="shared" si="48"/>
        <v>-0.31300000000001305</v>
      </c>
      <c r="DW45" s="1626">
        <f t="shared" si="49"/>
        <v>2.3775999999999868</v>
      </c>
      <c r="DY45" s="1183" t="str">
        <f t="shared" si="308"/>
        <v>Periodens resultat</v>
      </c>
      <c r="DZ45" s="1182"/>
      <c r="EA45" s="1232">
        <f t="shared" ref="EA45:EF45" si="327">EA35</f>
        <v>49.273047664000089</v>
      </c>
      <c r="EB45" s="1233">
        <f t="shared" si="327"/>
        <v>1.1017499999998392</v>
      </c>
      <c r="EC45" s="1232">
        <f t="shared" si="327"/>
        <v>64.620137916000061</v>
      </c>
      <c r="ED45" s="1233">
        <f t="shared" si="327"/>
        <v>25.562099999999887</v>
      </c>
      <c r="EE45" s="1232">
        <f t="shared" si="327"/>
        <v>41.832237916000224</v>
      </c>
      <c r="EF45" s="1233">
        <f t="shared" si="327"/>
        <v>2.7742000000000395</v>
      </c>
      <c r="EH45" s="242"/>
      <c r="EI45" s="242"/>
      <c r="EK45" s="1183" t="s">
        <v>334</v>
      </c>
      <c r="EL45" s="1182"/>
      <c r="EM45" s="1232">
        <f t="shared" si="74"/>
        <v>49.273047664000089</v>
      </c>
      <c r="EN45" s="1233">
        <f t="shared" si="75"/>
        <v>1.1017499999998392</v>
      </c>
      <c r="EO45" s="1232">
        <f t="shared" si="76"/>
        <v>64.620137916000061</v>
      </c>
      <c r="EP45" s="1233">
        <f t="shared" si="77"/>
        <v>25.562099999999887</v>
      </c>
      <c r="EQ45" s="1232">
        <f t="shared" si="78"/>
        <v>41.832237916000224</v>
      </c>
      <c r="ER45" s="1233">
        <f t="shared" si="79"/>
        <v>2.7742000000000395</v>
      </c>
      <c r="ET45" s="242"/>
      <c r="EV45" s="242"/>
      <c r="EW45" s="259"/>
      <c r="EX45" s="310"/>
      <c r="EY45" s="310"/>
      <c r="EZ45" s="310"/>
      <c r="FA45" s="310"/>
      <c r="FB45" s="310"/>
      <c r="FC45" s="310"/>
      <c r="FD45" s="310"/>
      <c r="FE45" s="310"/>
      <c r="FF45" s="1273" t="s">
        <v>364</v>
      </c>
      <c r="FG45" s="310"/>
      <c r="FH45" s="310"/>
      <c r="FI45" s="310"/>
      <c r="FJ45" s="310"/>
      <c r="FK45" s="310"/>
      <c r="FL45" s="310"/>
      <c r="FM45" s="310"/>
      <c r="FN45" s="310"/>
      <c r="FO45" s="310"/>
      <c r="FP45" s="310"/>
      <c r="FQ45" s="310"/>
      <c r="FR45" s="310"/>
      <c r="FS45" s="310"/>
      <c r="FT45" s="310"/>
      <c r="FU45" s="310"/>
      <c r="FV45" s="310"/>
      <c r="FW45" s="310"/>
      <c r="FX45" s="310"/>
      <c r="FY45" s="310"/>
      <c r="FZ45" s="310"/>
      <c r="GA45" s="310"/>
      <c r="GB45" s="310"/>
      <c r="GC45" s="310"/>
      <c r="GD45" s="310"/>
      <c r="GE45" s="310"/>
      <c r="GF45" s="310"/>
      <c r="GG45" s="310"/>
      <c r="GH45" s="310"/>
      <c r="GI45" s="310"/>
      <c r="GJ45" s="310"/>
      <c r="GK45" s="310"/>
      <c r="GL45" s="310"/>
      <c r="GM45" s="310"/>
      <c r="GN45" s="310"/>
      <c r="GO45" s="310"/>
      <c r="GP45" s="310"/>
      <c r="GQ45" s="310"/>
      <c r="GR45" s="310"/>
      <c r="GS45" s="310"/>
      <c r="GT45" s="890"/>
      <c r="GU45" s="412" t="s">
        <v>369</v>
      </c>
      <c r="GV45" s="242"/>
      <c r="GW45" s="1992">
        <f t="shared" ref="GW45:HH45" si="328">GW169</f>
        <v>0.67883354441363397</v>
      </c>
      <c r="GX45" s="1992">
        <f t="shared" si="328"/>
        <v>0.68528466421500422</v>
      </c>
      <c r="GY45" s="1992">
        <f t="shared" si="328"/>
        <v>0.71613597809902774</v>
      </c>
      <c r="GZ45" s="1992">
        <f t="shared" si="328"/>
        <v>0.74263870739930093</v>
      </c>
      <c r="HA45" s="1992">
        <f t="shared" si="328"/>
        <v>0.73131939385834865</v>
      </c>
      <c r="HB45" s="1992">
        <f t="shared" si="328"/>
        <v>0.71756565706724573</v>
      </c>
      <c r="HC45" s="1992">
        <f t="shared" si="328"/>
        <v>0.72747096583266757</v>
      </c>
      <c r="HD45" s="1992">
        <f t="shared" si="328"/>
        <v>0.75054895235477892</v>
      </c>
      <c r="HE45" s="1992">
        <f t="shared" si="328"/>
        <v>0.74118655979966996</v>
      </c>
      <c r="HF45" s="1992">
        <f t="shared" si="328"/>
        <v>0.76655918171417881</v>
      </c>
      <c r="HG45" s="1992" t="e">
        <f t="shared" si="328"/>
        <v>#DIV/0!</v>
      </c>
      <c r="HH45" s="1992" t="e">
        <f t="shared" si="328"/>
        <v>#DIV/0!</v>
      </c>
      <c r="HJ45" s="1203">
        <f t="shared" ref="HJ45:HO45" si="329">HJ169</f>
        <v>0.76655918171417881</v>
      </c>
      <c r="HK45" s="1204">
        <f t="shared" si="329"/>
        <v>0.71756565706724573</v>
      </c>
      <c r="HL45" s="1203">
        <f t="shared" si="329"/>
        <v>0.76655918171417881</v>
      </c>
      <c r="HM45" s="2098">
        <f t="shared" si="329"/>
        <v>0.71756565706724573</v>
      </c>
      <c r="HN45" s="1203">
        <f t="shared" si="329"/>
        <v>0.76655918171417881</v>
      </c>
      <c r="HO45" s="2099">
        <f t="shared" si="329"/>
        <v>0.75054895235477892</v>
      </c>
      <c r="HP45" s="1999"/>
      <c r="HQ45" s="310"/>
      <c r="HR45" s="310"/>
      <c r="HS45" s="310"/>
      <c r="HT45" s="310"/>
      <c r="HU45" s="310"/>
      <c r="HV45" s="310"/>
      <c r="HW45" s="310"/>
      <c r="HX45" s="310"/>
      <c r="HY45" s="310"/>
      <c r="HZ45" s="892"/>
      <c r="IA45" s="412" t="s">
        <v>370</v>
      </c>
      <c r="IB45" s="2066">
        <f t="shared" si="291"/>
        <v>0.76655918171417881</v>
      </c>
      <c r="IC45" s="2067">
        <f t="shared" si="291"/>
        <v>0.71756565706724573</v>
      </c>
      <c r="ID45" s="2066">
        <f t="shared" si="291"/>
        <v>0.76655918171417881</v>
      </c>
      <c r="IE45" s="2067">
        <f t="shared" si="291"/>
        <v>0.71756565706724573</v>
      </c>
      <c r="IF45" s="2066">
        <f t="shared" si="291"/>
        <v>0.76655918171417881</v>
      </c>
      <c r="IG45" s="2070">
        <f t="shared" si="291"/>
        <v>0.75054895235477892</v>
      </c>
      <c r="IH45" s="1219"/>
      <c r="IJ45" s="1678">
        <f t="shared" si="173"/>
        <v>0</v>
      </c>
      <c r="IK45" s="264">
        <f t="shared" si="23"/>
        <v>35</v>
      </c>
      <c r="IL45" s="242"/>
      <c r="IM45" s="242"/>
      <c r="IN45" s="1183" t="str">
        <f t="shared" si="312"/>
        <v>Periodens resultat</v>
      </c>
      <c r="IO45" s="1242"/>
      <c r="IP45" s="1242"/>
      <c r="IQ45" s="1242"/>
      <c r="IR45" s="242"/>
      <c r="IS45" s="242"/>
      <c r="IT45" s="1678">
        <f t="shared" si="174"/>
        <v>0</v>
      </c>
      <c r="IU45" s="264">
        <f t="shared" si="24"/>
        <v>35</v>
      </c>
      <c r="IV45" s="242"/>
      <c r="IW45" s="242"/>
      <c r="IX45" s="1183" t="s">
        <v>371</v>
      </c>
      <c r="IY45" s="1183"/>
      <c r="IZ45" s="1232">
        <f t="shared" ref="IZ45:IZ53" si="330">AX45</f>
        <v>70.000000000000057</v>
      </c>
      <c r="JA45" s="1242">
        <f t="shared" si="86"/>
        <v>-20.726952335999968</v>
      </c>
      <c r="JB45" s="1232">
        <f t="shared" ref="JB45:JB53" si="331">SUM(EA45)</f>
        <v>49.273047664000089</v>
      </c>
      <c r="JC45" s="242"/>
      <c r="JD45" s="242"/>
      <c r="JE45" s="242"/>
      <c r="JF45" s="1183" t="str">
        <f t="shared" si="313"/>
        <v>Periodens resultat</v>
      </c>
      <c r="JG45" s="1232">
        <f>IZ45</f>
        <v>70.000000000000057</v>
      </c>
      <c r="JH45" s="1242">
        <f>JA45</f>
        <v>-20.726952335999968</v>
      </c>
      <c r="JI45" s="1232">
        <f>JB45</f>
        <v>49.273047664000089</v>
      </c>
      <c r="JJ45" s="242"/>
      <c r="JK45" s="242"/>
      <c r="JL45" s="242"/>
      <c r="JM45" s="1183" t="s">
        <v>334</v>
      </c>
      <c r="JN45" s="1232">
        <f t="shared" si="87"/>
        <v>70.000000000000057</v>
      </c>
      <c r="JO45" s="1242">
        <f t="shared" si="148"/>
        <v>-20.726952335999968</v>
      </c>
      <c r="JP45" s="1232">
        <f t="shared" si="88"/>
        <v>49.273047664000089</v>
      </c>
      <c r="JQ45" s="242"/>
    </row>
    <row r="46" spans="2:277" s="269" customFormat="1" ht="11.25" customHeight="1" outlineLevel="1" x14ac:dyDescent="0.2">
      <c r="B46" s="264">
        <f t="shared" si="27"/>
        <v>37</v>
      </c>
      <c r="D46" s="368" t="str">
        <f>+[2]rapkvart!$B39</f>
        <v>Säkringsreserv</v>
      </c>
      <c r="E46" s="368"/>
      <c r="G46" s="1089">
        <f>[2]rapkvart!S39</f>
        <v>-1.8</v>
      </c>
      <c r="H46" s="1089">
        <f>[2]rapkvart!T39</f>
        <v>1.4</v>
      </c>
      <c r="I46" s="1089">
        <f>[2]rapkvart!U39</f>
        <v>7.5</v>
      </c>
      <c r="J46" s="1089">
        <f>[2]rapkvart!V39</f>
        <v>3.3</v>
      </c>
      <c r="K46" s="1089">
        <f>[2]rapkvart!O39</f>
        <v>12.4</v>
      </c>
      <c r="L46" s="1089">
        <f>[2]rapkvart!P39</f>
        <v>4.5</v>
      </c>
      <c r="M46" s="1089">
        <f>[2]rapkvart!Q39</f>
        <v>5.3</v>
      </c>
      <c r="N46" s="1089">
        <f>[2]rapkvart!R39</f>
        <v>6.6</v>
      </c>
      <c r="O46" s="1089">
        <f>[2]rapkvart!K39</f>
        <v>-3.6</v>
      </c>
      <c r="P46" s="1089">
        <f>[2]rapkvart!L39</f>
        <v>-6.1</v>
      </c>
      <c r="Q46" s="1089">
        <f>[2]rapkvart!M39</f>
        <v>5.3</v>
      </c>
      <c r="R46" s="1089">
        <f>[2]rapkvart!N39</f>
        <v>6.6</v>
      </c>
      <c r="S46" s="1072"/>
      <c r="T46" s="1073">
        <f>[2]rapkvart!AE39</f>
        <v>-1.8</v>
      </c>
      <c r="U46" s="1073">
        <f>[2]rapkvart!AF39</f>
        <v>3.2</v>
      </c>
      <c r="V46" s="1073">
        <f>[2]rapkvart!AG39</f>
        <v>6.1</v>
      </c>
      <c r="W46" s="1073">
        <f>[2]rapkvart!AH39</f>
        <v>-4.2</v>
      </c>
      <c r="X46" s="1073">
        <f>[2]rapkvart!AA39</f>
        <v>12.4</v>
      </c>
      <c r="Y46" s="1073">
        <f>[2]rapkvart!AB39</f>
        <v>-7.9</v>
      </c>
      <c r="Z46" s="1073">
        <f>[2]rapkvart!AC39</f>
        <v>0.79999999999999982</v>
      </c>
      <c r="AA46" s="1073">
        <f>[2]rapkvart!AD39</f>
        <v>1.2999999999999998</v>
      </c>
      <c r="AB46" s="1073">
        <f>[2]rapkvart!W39</f>
        <v>-3.6</v>
      </c>
      <c r="AC46" s="1073">
        <f>[2]rapkvart!X39</f>
        <v>-2.4999999999999996</v>
      </c>
      <c r="AD46" s="1073">
        <f>[2]rapkvart!Y39</f>
        <v>11.399999999999999</v>
      </c>
      <c r="AE46" s="1073">
        <f>[2]rapkvart!Z39</f>
        <v>1.2999999999999998</v>
      </c>
      <c r="AV46" s="1183" t="str">
        <f t="shared" si="306"/>
        <v>Säkringsreserv</v>
      </c>
      <c r="AW46" s="1182"/>
      <c r="AX46" s="1232">
        <f t="shared" si="314"/>
        <v>-2.4999999999999996</v>
      </c>
      <c r="AY46" s="1233">
        <f t="shared" si="315"/>
        <v>-7.9</v>
      </c>
      <c r="AZ46" s="1232">
        <f t="shared" si="316"/>
        <v>-6.1</v>
      </c>
      <c r="BA46" s="1233">
        <f t="shared" si="317"/>
        <v>4.5</v>
      </c>
      <c r="BB46" s="1232">
        <f t="shared" si="318"/>
        <v>-4</v>
      </c>
      <c r="BC46" s="1233">
        <f t="shared" si="319"/>
        <v>6.6</v>
      </c>
      <c r="BE46" s="1183" t="s">
        <v>374</v>
      </c>
      <c r="BF46" s="1182"/>
      <c r="BG46" s="1232">
        <f t="shared" si="320"/>
        <v>-2.4999999999999996</v>
      </c>
      <c r="BH46" s="1233">
        <f t="shared" si="321"/>
        <v>-7.9</v>
      </c>
      <c r="BI46" s="1232">
        <f t="shared" si="322"/>
        <v>-6.1</v>
      </c>
      <c r="BJ46" s="1233">
        <f t="shared" si="323"/>
        <v>4.5</v>
      </c>
      <c r="BK46" s="1232">
        <f t="shared" si="324"/>
        <v>-4</v>
      </c>
      <c r="BL46" s="1233">
        <f t="shared" si="325"/>
        <v>6.6</v>
      </c>
      <c r="BN46" s="242"/>
      <c r="BP46" s="373" t="str">
        <f t="shared" si="307"/>
        <v>Säkringsreserv</v>
      </c>
      <c r="BQ46" s="374"/>
      <c r="BR46" s="373"/>
      <c r="BS46" s="373"/>
      <c r="BT46" s="373"/>
      <c r="BU46" s="373"/>
      <c r="BV46" s="373"/>
      <c r="BW46" s="373"/>
      <c r="BX46" s="373"/>
      <c r="BY46" s="373"/>
      <c r="BZ46" s="373"/>
      <c r="CA46" s="373"/>
      <c r="CB46" s="373"/>
      <c r="CE46" s="1288">
        <f t="shared" si="171"/>
        <v>0</v>
      </c>
      <c r="CF46" s="281">
        <f t="shared" si="36"/>
        <v>36</v>
      </c>
      <c r="CH46" s="1608"/>
      <c r="CI46" s="1026" t="s">
        <v>375</v>
      </c>
      <c r="CJ46" s="1024"/>
      <c r="CK46" s="1279">
        <f t="shared" ref="CK46:CV48" si="332">T46+BQ46</f>
        <v>-1.8</v>
      </c>
      <c r="CL46" s="1279">
        <f t="shared" si="332"/>
        <v>3.2</v>
      </c>
      <c r="CM46" s="1279">
        <f t="shared" si="332"/>
        <v>6.1</v>
      </c>
      <c r="CN46" s="1279">
        <f t="shared" si="332"/>
        <v>-4.2</v>
      </c>
      <c r="CO46" s="1279">
        <f t="shared" si="332"/>
        <v>12.4</v>
      </c>
      <c r="CP46" s="1279">
        <f t="shared" si="332"/>
        <v>-7.9</v>
      </c>
      <c r="CQ46" s="1279">
        <f t="shared" si="332"/>
        <v>0.79999999999999982</v>
      </c>
      <c r="CR46" s="1279">
        <f t="shared" si="332"/>
        <v>1.2999999999999998</v>
      </c>
      <c r="CS46" s="1279">
        <f t="shared" si="332"/>
        <v>-3.6</v>
      </c>
      <c r="CT46" s="1279">
        <f t="shared" si="332"/>
        <v>-2.4999999999999996</v>
      </c>
      <c r="CU46" s="1279">
        <f t="shared" si="332"/>
        <v>11.399999999999999</v>
      </c>
      <c r="CV46" s="1279">
        <f t="shared" si="332"/>
        <v>1.2999999999999998</v>
      </c>
      <c r="CW46" s="369"/>
      <c r="CX46" s="1008"/>
      <c r="CY46" s="1008"/>
      <c r="CZ46" s="1008"/>
      <c r="DA46" s="1008"/>
      <c r="DB46" s="1008"/>
      <c r="DC46" s="1008"/>
      <c r="DD46" s="1008"/>
      <c r="DE46" s="1008"/>
      <c r="DF46" s="1008"/>
      <c r="DG46" s="1008"/>
      <c r="DH46" s="1008"/>
      <c r="DI46" s="1008"/>
      <c r="DJ46" s="244"/>
      <c r="DK46" s="1645" t="str">
        <f t="shared" si="73"/>
        <v>Säkringsreserv</v>
      </c>
      <c r="DL46" s="1627">
        <f t="shared" si="38"/>
        <v>0</v>
      </c>
      <c r="DM46" s="1627">
        <f t="shared" si="39"/>
        <v>0</v>
      </c>
      <c r="DN46" s="1627">
        <f t="shared" si="40"/>
        <v>0</v>
      </c>
      <c r="DO46" s="1627">
        <f t="shared" si="41"/>
        <v>0</v>
      </c>
      <c r="DP46" s="1627">
        <f t="shared" si="42"/>
        <v>0</v>
      </c>
      <c r="DQ46" s="1627">
        <f t="shared" si="43"/>
        <v>0</v>
      </c>
      <c r="DR46" s="1627">
        <f t="shared" si="44"/>
        <v>0</v>
      </c>
      <c r="DS46" s="1627">
        <f t="shared" si="45"/>
        <v>0</v>
      </c>
      <c r="DT46" s="1627">
        <f t="shared" si="46"/>
        <v>0</v>
      </c>
      <c r="DU46" s="1658">
        <f t="shared" si="47"/>
        <v>0</v>
      </c>
      <c r="DV46" s="1627">
        <f t="shared" si="48"/>
        <v>0</v>
      </c>
      <c r="DW46" s="1627">
        <f t="shared" si="49"/>
        <v>0</v>
      </c>
      <c r="DY46" s="1183" t="str">
        <f t="shared" si="308"/>
        <v>Säkringsreserv</v>
      </c>
      <c r="DZ46" s="1182"/>
      <c r="EA46" s="1232">
        <f>SUM(CT46)</f>
        <v>-2.4999999999999996</v>
      </c>
      <c r="EB46" s="1233">
        <f>SUM(CP46)</f>
        <v>-7.9</v>
      </c>
      <c r="EC46" s="1232">
        <f>SUM(CS46:CT46)</f>
        <v>-6.1</v>
      </c>
      <c r="ED46" s="1233">
        <f>SUM(CO46:CP46)</f>
        <v>4.5</v>
      </c>
      <c r="EE46" s="1232">
        <f>SUM(CQ46:CT46)</f>
        <v>-4</v>
      </c>
      <c r="EF46" s="1233">
        <f>SUM(CO46:CR46)</f>
        <v>6.6</v>
      </c>
      <c r="EH46" s="242"/>
      <c r="EI46" s="242"/>
      <c r="EK46" s="1183" t="s">
        <v>374</v>
      </c>
      <c r="EL46" s="1182"/>
      <c r="EM46" s="1232">
        <f t="shared" si="74"/>
        <v>-2.4999999999999996</v>
      </c>
      <c r="EN46" s="1233">
        <f t="shared" si="75"/>
        <v>-7.9</v>
      </c>
      <c r="EO46" s="1232">
        <f t="shared" si="76"/>
        <v>-6.1</v>
      </c>
      <c r="EP46" s="1233">
        <f t="shared" si="77"/>
        <v>4.5</v>
      </c>
      <c r="EQ46" s="1232">
        <f t="shared" si="78"/>
        <v>-4</v>
      </c>
      <c r="ER46" s="1233">
        <f t="shared" si="79"/>
        <v>6.6</v>
      </c>
      <c r="ET46" s="242"/>
      <c r="EW46" s="1273" t="s">
        <v>363</v>
      </c>
      <c r="EX46" s="1273"/>
      <c r="EY46" s="1273"/>
      <c r="EZ46" s="1273"/>
      <c r="FA46" s="1273"/>
      <c r="FB46" s="1273"/>
      <c r="FC46" s="1273"/>
      <c r="FD46" s="310"/>
      <c r="FE46" s="310"/>
      <c r="FF46" s="310"/>
      <c r="FG46" s="310"/>
      <c r="FH46" s="310"/>
      <c r="FI46" s="310"/>
      <c r="FJ46" s="310"/>
      <c r="FK46" s="310"/>
      <c r="FL46" s="310"/>
      <c r="FM46" s="310"/>
      <c r="FN46" s="310"/>
      <c r="FO46" s="310"/>
      <c r="FP46" s="310"/>
      <c r="FQ46" s="310"/>
      <c r="FR46" s="310"/>
      <c r="FS46" s="310"/>
      <c r="FT46" s="310"/>
      <c r="FU46" s="310"/>
      <c r="FV46" s="310"/>
      <c r="FW46" s="310"/>
      <c r="FX46" s="310"/>
      <c r="FY46" s="310"/>
      <c r="FZ46" s="310"/>
      <c r="GA46" s="310"/>
      <c r="GB46" s="310"/>
      <c r="GC46" s="310"/>
      <c r="GD46" s="310"/>
      <c r="GE46" s="310"/>
      <c r="GF46" s="310"/>
      <c r="GG46" s="310"/>
      <c r="GH46" s="310"/>
      <c r="GI46" s="310"/>
      <c r="GJ46" s="310"/>
      <c r="GK46" s="310"/>
      <c r="GL46" s="310"/>
      <c r="GM46" s="310"/>
      <c r="GN46" s="310"/>
      <c r="GO46" s="310"/>
      <c r="GP46" s="310"/>
      <c r="GQ46" s="310"/>
      <c r="GR46" s="310"/>
      <c r="GS46" s="310"/>
      <c r="GT46" s="890"/>
      <c r="GU46" s="412" t="s">
        <v>372</v>
      </c>
      <c r="GV46" s="242"/>
      <c r="GW46" s="1994">
        <f t="shared" ref="GW46:HH46" si="333">GW181</f>
        <v>6.7099767973116347</v>
      </c>
      <c r="GX46" s="1994">
        <f t="shared" si="333"/>
        <v>10.90732283585413</v>
      </c>
      <c r="GY46" s="1994">
        <f t="shared" si="333"/>
        <v>7.736863647030507</v>
      </c>
      <c r="GZ46" s="1994">
        <f t="shared" si="333"/>
        <v>7.4126599456526385</v>
      </c>
      <c r="HA46" s="1994">
        <f t="shared" si="333"/>
        <v>23.665953814979638</v>
      </c>
      <c r="HB46" s="1994">
        <f t="shared" si="333"/>
        <v>16.828815001304839</v>
      </c>
      <c r="HC46" s="1994">
        <f t="shared" si="333"/>
        <v>12.663809468061139</v>
      </c>
      <c r="HD46" s="1994">
        <f t="shared" si="333"/>
        <v>8.1600693862767475</v>
      </c>
      <c r="HE46" s="1994">
        <f t="shared" si="333"/>
        <v>12.766488284786254</v>
      </c>
      <c r="HF46" s="1994">
        <f t="shared" si="333"/>
        <v>21.001524805811847</v>
      </c>
      <c r="HG46" s="1994" t="e">
        <f t="shared" si="333"/>
        <v>#N/A</v>
      </c>
      <c r="HH46" s="1994" t="e">
        <f t="shared" si="333"/>
        <v>#N/A</v>
      </c>
      <c r="HJ46" s="2066">
        <f t="shared" ref="HJ46:HO46" si="334">HJ176</f>
        <v>27.844270230610942</v>
      </c>
      <c r="HK46" s="1204">
        <f t="shared" si="334"/>
        <v>9.1143816973213685</v>
      </c>
      <c r="HL46" s="2066">
        <f t="shared" si="334"/>
        <v>21.001524805811847</v>
      </c>
      <c r="HM46" s="2067">
        <f t="shared" si="334"/>
        <v>16.828815001304839</v>
      </c>
      <c r="HN46" s="2066">
        <f t="shared" si="334"/>
        <v>12.140288305899698</v>
      </c>
      <c r="HO46" s="2070">
        <f t="shared" si="334"/>
        <v>8.1600693862767475</v>
      </c>
      <c r="HP46" s="1999"/>
      <c r="HQ46" s="310"/>
      <c r="HR46" s="310"/>
      <c r="HS46" s="310"/>
      <c r="HT46" s="310"/>
      <c r="HU46" s="310"/>
      <c r="HV46" s="310"/>
      <c r="HW46" s="310"/>
      <c r="HX46" s="310"/>
      <c r="HY46" s="310"/>
      <c r="HZ46" s="892"/>
      <c r="IA46" s="412" t="s">
        <v>373</v>
      </c>
      <c r="IB46" s="2066">
        <f t="shared" si="291"/>
        <v>27.844270230610942</v>
      </c>
      <c r="IC46" s="2067">
        <f t="shared" si="291"/>
        <v>9.1143816973213685</v>
      </c>
      <c r="ID46" s="2066">
        <f t="shared" si="291"/>
        <v>21.001524805811847</v>
      </c>
      <c r="IE46" s="2067">
        <f t="shared" si="291"/>
        <v>16.828815001304839</v>
      </c>
      <c r="IF46" s="2066">
        <f t="shared" si="291"/>
        <v>12.140288305899698</v>
      </c>
      <c r="IG46" s="2070">
        <f t="shared" si="291"/>
        <v>8.1600693862767475</v>
      </c>
      <c r="IH46" s="1219"/>
      <c r="IJ46" s="1678">
        <f t="shared" si="173"/>
        <v>0</v>
      </c>
      <c r="IK46" s="264">
        <f t="shared" si="23"/>
        <v>36</v>
      </c>
      <c r="IL46" s="242"/>
      <c r="IM46" s="242"/>
      <c r="IN46" s="1183" t="str">
        <f t="shared" si="312"/>
        <v>Säkringsreserv</v>
      </c>
      <c r="IO46" s="1242"/>
      <c r="IP46" s="1242"/>
      <c r="IQ46" s="1242"/>
      <c r="IR46" s="242"/>
      <c r="IS46" s="242"/>
      <c r="IT46" s="1678">
        <f t="shared" si="174"/>
        <v>0</v>
      </c>
      <c r="IU46" s="264">
        <f t="shared" si="24"/>
        <v>36</v>
      </c>
      <c r="IV46" s="242"/>
      <c r="IW46" s="242"/>
      <c r="IX46" s="1183" t="s">
        <v>375</v>
      </c>
      <c r="IY46" s="1183"/>
      <c r="IZ46" s="1232">
        <f t="shared" si="330"/>
        <v>-2.4999999999999996</v>
      </c>
      <c r="JA46" s="1242">
        <f t="shared" si="86"/>
        <v>0</v>
      </c>
      <c r="JB46" s="1232">
        <f t="shared" si="331"/>
        <v>-2.4999999999999996</v>
      </c>
      <c r="JC46" s="242"/>
      <c r="JD46" s="242"/>
      <c r="JE46" s="242"/>
      <c r="JF46" s="1183" t="str">
        <f t="shared" si="313"/>
        <v>Säkringsreserv</v>
      </c>
      <c r="JG46" s="1232">
        <f t="shared" ref="JG46:JG48" si="335">IZ46</f>
        <v>-2.4999999999999996</v>
      </c>
      <c r="JH46" s="1242"/>
      <c r="JI46" s="1232">
        <f t="shared" ref="JI46:JI48" si="336">JB46</f>
        <v>-2.4999999999999996</v>
      </c>
      <c r="JJ46" s="242"/>
      <c r="JK46" s="242"/>
      <c r="JL46" s="242"/>
      <c r="JM46" s="1183" t="s">
        <v>376</v>
      </c>
      <c r="JN46" s="1232">
        <f t="shared" si="87"/>
        <v>-2.4999999999999996</v>
      </c>
      <c r="JO46" s="1242"/>
      <c r="JP46" s="1232">
        <f t="shared" si="88"/>
        <v>-2.4999999999999996</v>
      </c>
      <c r="JQ46" s="242"/>
    </row>
    <row r="47" spans="2:277" s="269" customFormat="1" ht="11.25" customHeight="1" outlineLevel="1" x14ac:dyDescent="0.2">
      <c r="B47" s="264">
        <f t="shared" si="27"/>
        <v>38</v>
      </c>
      <c r="D47" s="376" t="str">
        <f>+[2]rapkvart!$B40</f>
        <v>Omräkningsreserv</v>
      </c>
      <c r="E47" s="376"/>
      <c r="G47" s="1089">
        <f>[2]rapkvart!S40</f>
        <v>0.1</v>
      </c>
      <c r="H47" s="1089">
        <f>[2]rapkvart!T40</f>
        <v>0.1</v>
      </c>
      <c r="I47" s="1089">
        <f>[2]rapkvart!U40</f>
        <v>0</v>
      </c>
      <c r="J47" s="1089">
        <f>[2]rapkvart!V40</f>
        <v>0.2</v>
      </c>
      <c r="K47" s="1089">
        <f>[2]rapkvart!O40</f>
        <v>-0.3</v>
      </c>
      <c r="L47" s="1089">
        <f>[2]rapkvart!P40</f>
        <v>-0.2</v>
      </c>
      <c r="M47" s="1089">
        <f>[2]rapkvart!Q40</f>
        <v>-0.1</v>
      </c>
      <c r="N47" s="1089">
        <f>[2]rapkvart!R40</f>
        <v>-0.5</v>
      </c>
      <c r="O47" s="1089">
        <f>[2]rapkvart!K40</f>
        <v>0</v>
      </c>
      <c r="P47" s="1089">
        <f>[2]rapkvart!L40</f>
        <v>0.1</v>
      </c>
      <c r="Q47" s="1089">
        <f>[2]rapkvart!M40</f>
        <v>-0.1</v>
      </c>
      <c r="R47" s="1089">
        <f>[2]rapkvart!N40</f>
        <v>-0.5</v>
      </c>
      <c r="S47" s="1072"/>
      <c r="T47" s="1073">
        <f>[2]rapkvart!AE40</f>
        <v>0.1</v>
      </c>
      <c r="U47" s="1073">
        <f>[2]rapkvart!AF40</f>
        <v>0</v>
      </c>
      <c r="V47" s="1073">
        <f>[2]rapkvart!AG40</f>
        <v>-0.1</v>
      </c>
      <c r="W47" s="1073">
        <f>[2]rapkvart!AH40</f>
        <v>0.2</v>
      </c>
      <c r="X47" s="1073">
        <f>[2]rapkvart!AA40</f>
        <v>-0.3</v>
      </c>
      <c r="Y47" s="1073">
        <f>[2]rapkvart!AB40</f>
        <v>9.9999999999999978E-2</v>
      </c>
      <c r="Z47" s="1073">
        <f>[2]rapkvart!AC40</f>
        <v>0.1</v>
      </c>
      <c r="AA47" s="1073">
        <f>[2]rapkvart!AD40</f>
        <v>-0.4</v>
      </c>
      <c r="AB47" s="1073">
        <f>[2]rapkvart!W40</f>
        <v>0</v>
      </c>
      <c r="AC47" s="1073">
        <f>[2]rapkvart!X40</f>
        <v>0.1</v>
      </c>
      <c r="AD47" s="1073">
        <f>[2]rapkvart!Y40</f>
        <v>-0.2</v>
      </c>
      <c r="AE47" s="1073">
        <f>[2]rapkvart!Z40</f>
        <v>-0.4</v>
      </c>
      <c r="AV47" s="1190" t="str">
        <f t="shared" si="306"/>
        <v>Omräkningsreserv</v>
      </c>
      <c r="AW47" s="1191"/>
      <c r="AX47" s="1232">
        <f t="shared" si="314"/>
        <v>0.1</v>
      </c>
      <c r="AY47" s="1233">
        <f t="shared" si="315"/>
        <v>9.9999999999999978E-2</v>
      </c>
      <c r="AZ47" s="1232">
        <f t="shared" si="316"/>
        <v>0.1</v>
      </c>
      <c r="BA47" s="1233">
        <f t="shared" si="317"/>
        <v>-0.2</v>
      </c>
      <c r="BB47" s="1232">
        <f t="shared" si="318"/>
        <v>-0.20000000000000004</v>
      </c>
      <c r="BC47" s="1233">
        <f t="shared" si="319"/>
        <v>-0.5</v>
      </c>
      <c r="BE47" s="1190" t="s">
        <v>377</v>
      </c>
      <c r="BF47" s="1191"/>
      <c r="BG47" s="1232">
        <f t="shared" si="320"/>
        <v>0.1</v>
      </c>
      <c r="BH47" s="1233">
        <f t="shared" si="321"/>
        <v>9.9999999999999978E-2</v>
      </c>
      <c r="BI47" s="1232">
        <f t="shared" si="322"/>
        <v>0.1</v>
      </c>
      <c r="BJ47" s="1233">
        <f t="shared" si="323"/>
        <v>-0.2</v>
      </c>
      <c r="BK47" s="1232">
        <f t="shared" si="324"/>
        <v>-0.20000000000000004</v>
      </c>
      <c r="BL47" s="1233">
        <f t="shared" si="325"/>
        <v>-0.5</v>
      </c>
      <c r="BN47" s="242"/>
      <c r="BP47" s="373" t="str">
        <f t="shared" si="307"/>
        <v>Omräkningsreserv</v>
      </c>
      <c r="BQ47" s="374"/>
      <c r="BR47" s="373"/>
      <c r="BS47" s="373"/>
      <c r="BT47" s="373"/>
      <c r="BU47" s="373"/>
      <c r="BV47" s="373"/>
      <c r="BW47" s="373"/>
      <c r="BX47" s="373"/>
      <c r="BY47" s="373"/>
      <c r="BZ47" s="373"/>
      <c r="CA47" s="373"/>
      <c r="CB47" s="373"/>
      <c r="CE47" s="1288">
        <f t="shared" si="171"/>
        <v>0</v>
      </c>
      <c r="CF47" s="281">
        <f t="shared" si="36"/>
        <v>37</v>
      </c>
      <c r="CH47" s="1608"/>
      <c r="CI47" s="1026" t="s">
        <v>378</v>
      </c>
      <c r="CJ47" s="1024"/>
      <c r="CK47" s="1279">
        <f t="shared" si="332"/>
        <v>0.1</v>
      </c>
      <c r="CL47" s="1279">
        <f t="shared" si="332"/>
        <v>0</v>
      </c>
      <c r="CM47" s="1279">
        <f t="shared" si="332"/>
        <v>-0.1</v>
      </c>
      <c r="CN47" s="1279">
        <f t="shared" si="332"/>
        <v>0.2</v>
      </c>
      <c r="CO47" s="1279">
        <f t="shared" si="332"/>
        <v>-0.3</v>
      </c>
      <c r="CP47" s="1279">
        <f t="shared" si="332"/>
        <v>9.9999999999999978E-2</v>
      </c>
      <c r="CQ47" s="1279">
        <f t="shared" si="332"/>
        <v>0.1</v>
      </c>
      <c r="CR47" s="1279">
        <f t="shared" si="332"/>
        <v>-0.4</v>
      </c>
      <c r="CS47" s="1279">
        <f t="shared" si="332"/>
        <v>0</v>
      </c>
      <c r="CT47" s="1279">
        <f t="shared" si="332"/>
        <v>0.1</v>
      </c>
      <c r="CU47" s="1279">
        <f t="shared" si="332"/>
        <v>-0.2</v>
      </c>
      <c r="CV47" s="1279">
        <f t="shared" si="332"/>
        <v>-0.4</v>
      </c>
      <c r="CW47" s="369"/>
      <c r="CX47" s="1008"/>
      <c r="CY47" s="1008"/>
      <c r="CZ47" s="1008"/>
      <c r="DA47" s="1008"/>
      <c r="DB47" s="1008"/>
      <c r="DC47" s="1008"/>
      <c r="DD47" s="1008"/>
      <c r="DE47" s="1008"/>
      <c r="DF47" s="1008"/>
      <c r="DG47" s="1008"/>
      <c r="DH47" s="1008"/>
      <c r="DI47" s="1008"/>
      <c r="DJ47" s="244"/>
      <c r="DK47" s="1633" t="str">
        <f t="shared" si="73"/>
        <v>Omräkningsreserv</v>
      </c>
      <c r="DL47" s="1616">
        <f t="shared" si="38"/>
        <v>0</v>
      </c>
      <c r="DM47" s="1616">
        <f t="shared" si="39"/>
        <v>0</v>
      </c>
      <c r="DN47" s="1616">
        <f t="shared" si="40"/>
        <v>0</v>
      </c>
      <c r="DO47" s="1616">
        <f t="shared" si="41"/>
        <v>0</v>
      </c>
      <c r="DP47" s="1616">
        <f t="shared" si="42"/>
        <v>0</v>
      </c>
      <c r="DQ47" s="1616">
        <f t="shared" si="43"/>
        <v>0</v>
      </c>
      <c r="DR47" s="1616">
        <f t="shared" si="44"/>
        <v>0</v>
      </c>
      <c r="DS47" s="1616">
        <f t="shared" si="45"/>
        <v>0</v>
      </c>
      <c r="DT47" s="1616">
        <f t="shared" si="46"/>
        <v>0</v>
      </c>
      <c r="DU47" s="1649">
        <f t="shared" si="47"/>
        <v>0</v>
      </c>
      <c r="DV47" s="1616">
        <f t="shared" si="48"/>
        <v>0</v>
      </c>
      <c r="DW47" s="1616">
        <f t="shared" si="49"/>
        <v>0</v>
      </c>
      <c r="DY47" s="1190" t="str">
        <f t="shared" si="308"/>
        <v>Omräkningsreserv</v>
      </c>
      <c r="DZ47" s="1191"/>
      <c r="EA47" s="1232">
        <f>SUM(CT47)</f>
        <v>0.1</v>
      </c>
      <c r="EB47" s="1233">
        <f>SUM(CP47)</f>
        <v>9.9999999999999978E-2</v>
      </c>
      <c r="EC47" s="1232">
        <f>SUM(CS47:CT47)</f>
        <v>0.1</v>
      </c>
      <c r="ED47" s="1233">
        <f>SUM(CO47:CP47)</f>
        <v>-0.2</v>
      </c>
      <c r="EE47" s="1232">
        <f>SUM(CQ47:CT47)</f>
        <v>-0.20000000000000004</v>
      </c>
      <c r="EF47" s="1233">
        <f>SUM(CO47:CR47)</f>
        <v>-0.5</v>
      </c>
      <c r="EH47" s="242"/>
      <c r="EI47" s="242"/>
      <c r="EK47" s="1190" t="s">
        <v>377</v>
      </c>
      <c r="EL47" s="1191"/>
      <c r="EM47" s="1232">
        <f t="shared" si="74"/>
        <v>0.1</v>
      </c>
      <c r="EN47" s="1233">
        <f t="shared" si="75"/>
        <v>9.9999999999999978E-2</v>
      </c>
      <c r="EO47" s="1232">
        <f t="shared" si="76"/>
        <v>0.1</v>
      </c>
      <c r="EP47" s="1233">
        <f t="shared" si="77"/>
        <v>-0.2</v>
      </c>
      <c r="EQ47" s="1232">
        <f t="shared" si="78"/>
        <v>-0.20000000000000004</v>
      </c>
      <c r="ER47" s="1233">
        <f t="shared" si="79"/>
        <v>-0.5</v>
      </c>
      <c r="ET47" s="242"/>
      <c r="EW47" s="1273"/>
      <c r="EX47" s="1273"/>
      <c r="EY47" s="1273"/>
      <c r="EZ47" s="1273"/>
      <c r="FA47" s="1273"/>
      <c r="FB47" s="1273"/>
      <c r="FC47" s="1273"/>
      <c r="FD47" s="310"/>
      <c r="FE47" s="310"/>
      <c r="FF47" s="310"/>
      <c r="FG47" s="310"/>
      <c r="FH47" s="310"/>
      <c r="FI47" s="310"/>
      <c r="FJ47" s="310"/>
      <c r="FK47" s="310"/>
      <c r="FL47" s="310"/>
      <c r="FM47" s="310"/>
      <c r="FN47" s="310"/>
      <c r="FO47" s="310"/>
      <c r="FP47" s="310"/>
      <c r="FQ47" s="310"/>
      <c r="FR47" s="310"/>
      <c r="FS47" s="310"/>
      <c r="FT47" s="310"/>
      <c r="FU47" s="310"/>
      <c r="FV47" s="310"/>
      <c r="FW47" s="310"/>
      <c r="FX47" s="310"/>
      <c r="FY47" s="310"/>
      <c r="FZ47" s="310"/>
      <c r="GA47" s="310"/>
      <c r="GB47" s="310"/>
      <c r="GC47" s="310"/>
      <c r="GD47" s="310"/>
      <c r="GE47" s="310"/>
      <c r="GF47" s="310"/>
      <c r="GG47" s="310"/>
      <c r="GH47" s="310"/>
      <c r="GI47" s="310"/>
      <c r="GJ47" s="310"/>
      <c r="GK47" s="310"/>
      <c r="GL47" s="310"/>
      <c r="GM47" s="310"/>
      <c r="GN47" s="310"/>
      <c r="GO47" s="310"/>
      <c r="GP47" s="310"/>
      <c r="GQ47" s="310"/>
      <c r="GR47" s="310"/>
      <c r="GS47" s="310"/>
      <c r="GT47" s="890"/>
      <c r="GU47" s="412"/>
      <c r="GV47" s="242"/>
      <c r="GW47" s="413"/>
      <c r="GX47" s="413"/>
      <c r="GY47" s="413"/>
      <c r="GZ47" s="413"/>
      <c r="HA47" s="413"/>
      <c r="HB47" s="413"/>
      <c r="HC47" s="413"/>
      <c r="HD47" s="413"/>
      <c r="HE47" s="413"/>
      <c r="HF47" s="413"/>
      <c r="HG47" s="413"/>
      <c r="HH47" s="413"/>
      <c r="HJ47" s="928"/>
      <c r="HK47" s="413"/>
      <c r="HL47" s="928"/>
      <c r="HM47" s="413"/>
      <c r="HN47" s="928"/>
      <c r="HO47" s="2019"/>
      <c r="HP47" s="1999"/>
      <c r="HQ47" s="310"/>
      <c r="HR47" s="2149" t="str">
        <f t="shared" ref="HR47:HW48" si="337">EA10</f>
        <v>Kvartal 2</v>
      </c>
      <c r="HS47" s="2149" t="str">
        <f t="shared" si="337"/>
        <v>Kvartal 2</v>
      </c>
      <c r="HT47" s="2149" t="str">
        <f t="shared" si="337"/>
        <v>Kvartal 1-2</v>
      </c>
      <c r="HU47" s="2149" t="str">
        <f t="shared" si="337"/>
        <v>Kvartal 1-2</v>
      </c>
      <c r="HV47" s="2149" t="str">
        <f t="shared" si="337"/>
        <v>Kvartal 2, R12</v>
      </c>
      <c r="HW47" s="2149" t="str">
        <f t="shared" si="337"/>
        <v>Helår</v>
      </c>
      <c r="HX47" s="310"/>
      <c r="HY47" s="310"/>
      <c r="HZ47" s="892"/>
      <c r="IA47" s="412"/>
      <c r="IB47" s="928"/>
      <c r="IC47" s="413"/>
      <c r="ID47" s="928"/>
      <c r="IE47" s="413"/>
      <c r="IF47" s="928"/>
      <c r="IG47" s="2019"/>
      <c r="IH47" s="1150"/>
      <c r="IJ47" s="1678">
        <f t="shared" si="173"/>
        <v>0</v>
      </c>
      <c r="IK47" s="264">
        <f t="shared" si="23"/>
        <v>37</v>
      </c>
      <c r="IL47" s="242"/>
      <c r="IM47" s="242"/>
      <c r="IN47" s="1190" t="str">
        <f t="shared" si="312"/>
        <v>Omräkningsreserv</v>
      </c>
      <c r="IO47" s="1242"/>
      <c r="IP47" s="1242"/>
      <c r="IQ47" s="1242"/>
      <c r="IR47" s="242"/>
      <c r="IS47" s="242"/>
      <c r="IT47" s="1678">
        <f t="shared" si="174"/>
        <v>0</v>
      </c>
      <c r="IU47" s="264">
        <f t="shared" si="24"/>
        <v>37</v>
      </c>
      <c r="IV47" s="242"/>
      <c r="IW47" s="242"/>
      <c r="IX47" s="1723" t="s">
        <v>378</v>
      </c>
      <c r="IY47" s="1190"/>
      <c r="IZ47" s="1232">
        <f t="shared" si="330"/>
        <v>0.1</v>
      </c>
      <c r="JA47" s="1242">
        <f t="shared" si="86"/>
        <v>0</v>
      </c>
      <c r="JB47" s="1232">
        <f t="shared" si="331"/>
        <v>0.1</v>
      </c>
      <c r="JC47" s="242"/>
      <c r="JD47" s="242"/>
      <c r="JE47" s="242"/>
      <c r="JF47" s="1190" t="str">
        <f t="shared" si="313"/>
        <v>Omräkningsreserv</v>
      </c>
      <c r="JG47" s="1232">
        <f t="shared" si="335"/>
        <v>0.1</v>
      </c>
      <c r="JH47" s="1242"/>
      <c r="JI47" s="1232">
        <f t="shared" si="336"/>
        <v>0.1</v>
      </c>
      <c r="JJ47" s="242"/>
      <c r="JK47" s="242"/>
      <c r="JL47" s="242"/>
      <c r="JM47" s="1190" t="s">
        <v>377</v>
      </c>
      <c r="JN47" s="1232">
        <f t="shared" si="87"/>
        <v>0.1</v>
      </c>
      <c r="JO47" s="1242"/>
      <c r="JP47" s="1232">
        <f t="shared" si="88"/>
        <v>0.1</v>
      </c>
      <c r="JQ47" s="242"/>
    </row>
    <row r="48" spans="2:277" s="269" customFormat="1" ht="11.25" customHeight="1" outlineLevel="1" x14ac:dyDescent="0.2">
      <c r="B48" s="264">
        <f t="shared" si="27"/>
        <v>39</v>
      </c>
      <c r="D48" s="376" t="str">
        <f>+[2]rapkvart!$B41</f>
        <v>Uppskjuten skatt på ovanstående</v>
      </c>
      <c r="E48" s="376"/>
      <c r="G48" s="1089">
        <f>[2]rapkvart!S41</f>
        <v>0.4</v>
      </c>
      <c r="H48" s="1089">
        <f>[2]rapkvart!T41</f>
        <v>-0.3</v>
      </c>
      <c r="I48" s="1089">
        <f>[2]rapkvart!U41</f>
        <v>-1.5</v>
      </c>
      <c r="J48" s="1089">
        <f>[2]rapkvart!V41</f>
        <v>-0.7</v>
      </c>
      <c r="K48" s="1089">
        <f>[2]rapkvart!O41</f>
        <v>-2.5</v>
      </c>
      <c r="L48" s="1089">
        <f>[2]rapkvart!P41</f>
        <v>-0.9</v>
      </c>
      <c r="M48" s="1089">
        <f>[2]rapkvart!Q41</f>
        <v>-1.1000000000000001</v>
      </c>
      <c r="N48" s="1089">
        <f>[2]rapkvart!R41</f>
        <v>-1.4</v>
      </c>
      <c r="O48" s="1089">
        <f>[2]rapkvart!K41</f>
        <v>0.7</v>
      </c>
      <c r="P48" s="1089">
        <f>[2]rapkvart!L41</f>
        <v>1.3</v>
      </c>
      <c r="Q48" s="1089">
        <f>[2]rapkvart!M41</f>
        <v>-1.1000000000000001</v>
      </c>
      <c r="R48" s="1089">
        <f>[2]rapkvart!N41</f>
        <v>-1.4</v>
      </c>
      <c r="S48" s="1072"/>
      <c r="T48" s="1073">
        <f>[2]rapkvart!AE41</f>
        <v>0.4</v>
      </c>
      <c r="U48" s="1073">
        <f>[2]rapkvart!AF41</f>
        <v>-0.7</v>
      </c>
      <c r="V48" s="1073">
        <f>[2]rapkvart!AG41</f>
        <v>-1.2</v>
      </c>
      <c r="W48" s="1073">
        <f>[2]rapkvart!AH41</f>
        <v>0.8</v>
      </c>
      <c r="X48" s="1073">
        <f>[2]rapkvart!AA41</f>
        <v>-2.5</v>
      </c>
      <c r="Y48" s="1073">
        <f>[2]rapkvart!AB41</f>
        <v>1.6</v>
      </c>
      <c r="Z48" s="1073">
        <f>[2]rapkvart!AC41</f>
        <v>-0.20000000000000007</v>
      </c>
      <c r="AA48" s="1073">
        <f>[2]rapkvart!AD41</f>
        <v>-0.29999999999999982</v>
      </c>
      <c r="AB48" s="1073">
        <f>[2]rapkvart!W41</f>
        <v>0.7</v>
      </c>
      <c r="AC48" s="1073">
        <f>[2]rapkvart!X41</f>
        <v>0.60000000000000009</v>
      </c>
      <c r="AD48" s="1073">
        <f>[2]rapkvart!Y41</f>
        <v>-2.4000000000000004</v>
      </c>
      <c r="AE48" s="1073">
        <f>[2]rapkvart!Z41</f>
        <v>-0.29999999999999982</v>
      </c>
      <c r="AV48" s="1190" t="str">
        <f t="shared" si="306"/>
        <v>Uppskjuten skatt på ovanstående</v>
      </c>
      <c r="AW48" s="1191"/>
      <c r="AX48" s="1232">
        <f t="shared" si="314"/>
        <v>0.60000000000000009</v>
      </c>
      <c r="AY48" s="1233">
        <f t="shared" si="315"/>
        <v>1.6</v>
      </c>
      <c r="AZ48" s="1232">
        <f t="shared" si="316"/>
        <v>1.3</v>
      </c>
      <c r="BA48" s="1233">
        <f t="shared" si="317"/>
        <v>-0.9</v>
      </c>
      <c r="BB48" s="1232">
        <f t="shared" si="318"/>
        <v>0.80000000000000016</v>
      </c>
      <c r="BC48" s="1233">
        <f t="shared" si="319"/>
        <v>-1.4</v>
      </c>
      <c r="BE48" s="1190" t="s">
        <v>380</v>
      </c>
      <c r="BF48" s="1191"/>
      <c r="BG48" s="1232">
        <f t="shared" si="320"/>
        <v>0.60000000000000009</v>
      </c>
      <c r="BH48" s="1233">
        <f t="shared" si="321"/>
        <v>1.6</v>
      </c>
      <c r="BI48" s="1232">
        <f t="shared" si="322"/>
        <v>1.3</v>
      </c>
      <c r="BJ48" s="1233">
        <f>BA48</f>
        <v>-0.9</v>
      </c>
      <c r="BK48" s="1232">
        <f t="shared" si="324"/>
        <v>0.80000000000000016</v>
      </c>
      <c r="BL48" s="1233">
        <f t="shared" si="325"/>
        <v>-1.4</v>
      </c>
      <c r="BN48" s="242"/>
      <c r="BP48" s="373" t="str">
        <f t="shared" si="307"/>
        <v>Uppskjuten skatt på ovanstående</v>
      </c>
      <c r="BQ48" s="374"/>
      <c r="BR48" s="373"/>
      <c r="BS48" s="373"/>
      <c r="BT48" s="373"/>
      <c r="BU48" s="373"/>
      <c r="BV48" s="373"/>
      <c r="BW48" s="373"/>
      <c r="BX48" s="373"/>
      <c r="BY48" s="373"/>
      <c r="BZ48" s="373"/>
      <c r="CA48" s="373"/>
      <c r="CB48" s="373"/>
      <c r="CE48" s="1288">
        <f t="shared" si="171"/>
        <v>0</v>
      </c>
      <c r="CF48" s="281">
        <f t="shared" si="36"/>
        <v>38</v>
      </c>
      <c r="CH48" s="1608"/>
      <c r="CI48" s="1028" t="s">
        <v>381</v>
      </c>
      <c r="CJ48" s="1029"/>
      <c r="CK48" s="1282">
        <f t="shared" si="332"/>
        <v>0.4</v>
      </c>
      <c r="CL48" s="1282">
        <f t="shared" si="332"/>
        <v>-0.7</v>
      </c>
      <c r="CM48" s="1282">
        <f t="shared" si="332"/>
        <v>-1.2</v>
      </c>
      <c r="CN48" s="1282">
        <f t="shared" si="332"/>
        <v>0.8</v>
      </c>
      <c r="CO48" s="1282">
        <f t="shared" si="332"/>
        <v>-2.5</v>
      </c>
      <c r="CP48" s="1282">
        <f t="shared" si="332"/>
        <v>1.6</v>
      </c>
      <c r="CQ48" s="1282">
        <f t="shared" si="332"/>
        <v>-0.20000000000000007</v>
      </c>
      <c r="CR48" s="1282">
        <f t="shared" si="332"/>
        <v>-0.29999999999999982</v>
      </c>
      <c r="CS48" s="1282">
        <f t="shared" si="332"/>
        <v>0.7</v>
      </c>
      <c r="CT48" s="1282">
        <f t="shared" si="332"/>
        <v>0.60000000000000009</v>
      </c>
      <c r="CU48" s="1282">
        <f t="shared" si="332"/>
        <v>-2.4000000000000004</v>
      </c>
      <c r="CV48" s="1282">
        <f t="shared" si="332"/>
        <v>-0.29999999999999982</v>
      </c>
      <c r="CW48" s="1012"/>
      <c r="CX48" s="1008"/>
      <c r="CY48" s="1008"/>
      <c r="CZ48" s="1008"/>
      <c r="DA48" s="1008"/>
      <c r="DB48" s="1008"/>
      <c r="DC48" s="1008"/>
      <c r="DD48" s="1008"/>
      <c r="DE48" s="1008"/>
      <c r="DF48" s="1008"/>
      <c r="DG48" s="1008"/>
      <c r="DH48" s="1008"/>
      <c r="DI48" s="1008"/>
      <c r="DJ48" s="244"/>
      <c r="DK48" s="1633" t="str">
        <f t="shared" si="73"/>
        <v>Uppskjuten skatt på ovanstående</v>
      </c>
      <c r="DL48" s="1616">
        <f t="shared" si="38"/>
        <v>0</v>
      </c>
      <c r="DM48" s="1616">
        <f t="shared" si="39"/>
        <v>0</v>
      </c>
      <c r="DN48" s="1616">
        <f t="shared" si="40"/>
        <v>0</v>
      </c>
      <c r="DO48" s="1616">
        <f t="shared" si="41"/>
        <v>0</v>
      </c>
      <c r="DP48" s="1616">
        <f t="shared" si="42"/>
        <v>0</v>
      </c>
      <c r="DQ48" s="1616">
        <f t="shared" si="43"/>
        <v>0</v>
      </c>
      <c r="DR48" s="1616">
        <f t="shared" si="44"/>
        <v>0</v>
      </c>
      <c r="DS48" s="1616">
        <f t="shared" si="45"/>
        <v>0</v>
      </c>
      <c r="DT48" s="1616">
        <f t="shared" si="46"/>
        <v>0</v>
      </c>
      <c r="DU48" s="1649">
        <f t="shared" si="47"/>
        <v>0</v>
      </c>
      <c r="DV48" s="1616">
        <f t="shared" si="48"/>
        <v>0</v>
      </c>
      <c r="DW48" s="1616">
        <f t="shared" si="49"/>
        <v>0</v>
      </c>
      <c r="DY48" s="1190" t="str">
        <f t="shared" si="308"/>
        <v>Uppskjuten skatt på ovanstående</v>
      </c>
      <c r="DZ48" s="1191"/>
      <c r="EA48" s="1232">
        <f>SUM(CT48)</f>
        <v>0.60000000000000009</v>
      </c>
      <c r="EB48" s="1233">
        <f>SUM(CP48)</f>
        <v>1.6</v>
      </c>
      <c r="EC48" s="1232">
        <f>SUM(CS48:CT48)</f>
        <v>1.3</v>
      </c>
      <c r="ED48" s="1233">
        <f>SUM(CO48:CP48)</f>
        <v>-0.89999999999999991</v>
      </c>
      <c r="EE48" s="1232">
        <f>SUM(CQ48:CT48)</f>
        <v>0.80000000000000016</v>
      </c>
      <c r="EF48" s="1233">
        <f>SUM(CO48:CR48)</f>
        <v>-1.4</v>
      </c>
      <c r="EH48" s="242"/>
      <c r="EI48" s="242"/>
      <c r="EK48" s="1190" t="s">
        <v>382</v>
      </c>
      <c r="EL48" s="1191"/>
      <c r="EM48" s="1232">
        <f t="shared" si="74"/>
        <v>0.60000000000000009</v>
      </c>
      <c r="EN48" s="1233">
        <f t="shared" si="75"/>
        <v>1.6</v>
      </c>
      <c r="EO48" s="1232">
        <f t="shared" si="76"/>
        <v>1.3</v>
      </c>
      <c r="EP48" s="1233">
        <f t="shared" si="77"/>
        <v>-0.89999999999999991</v>
      </c>
      <c r="EQ48" s="1232">
        <f t="shared" si="78"/>
        <v>0.80000000000000016</v>
      </c>
      <c r="ER48" s="1233">
        <f t="shared" si="79"/>
        <v>-1.4</v>
      </c>
      <c r="ET48" s="242"/>
      <c r="EW48" s="1272"/>
      <c r="EX48" s="1272"/>
      <c r="EY48" s="1272"/>
      <c r="EZ48" s="1272"/>
      <c r="FA48" s="1272"/>
      <c r="FB48" s="1272"/>
      <c r="FC48" s="1272"/>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890"/>
      <c r="GU48" s="923" t="s">
        <v>35</v>
      </c>
      <c r="GV48" s="242"/>
      <c r="GW48" s="1996">
        <f t="shared" ref="GW48:HH48" si="338">GW41/GW24*1000</f>
        <v>177.44627670573362</v>
      </c>
      <c r="GX48" s="1996">
        <f t="shared" si="338"/>
        <v>179.77990093788563</v>
      </c>
      <c r="GY48" s="1996">
        <f t="shared" si="338"/>
        <v>184.08698332278792</v>
      </c>
      <c r="GZ48" s="1996">
        <f t="shared" si="338"/>
        <v>187.205161457651</v>
      </c>
      <c r="HA48" s="1996">
        <f t="shared" si="338"/>
        <v>195.11000723512521</v>
      </c>
      <c r="HB48" s="1996">
        <f t="shared" si="338"/>
        <v>191.77209165195603</v>
      </c>
      <c r="HC48" s="1996">
        <f t="shared" si="338"/>
        <v>194.29434582039468</v>
      </c>
      <c r="HD48" s="1996">
        <f t="shared" si="338"/>
        <v>195.50778601958208</v>
      </c>
      <c r="HE48" s="1996">
        <f t="shared" si="338"/>
        <v>198.00958334944681</v>
      </c>
      <c r="HF48" s="1996">
        <f t="shared" si="338"/>
        <v>211.07943979190605</v>
      </c>
      <c r="HG48" s="1996">
        <f t="shared" si="338"/>
        <v>0</v>
      </c>
      <c r="HH48" s="1996">
        <f t="shared" si="338"/>
        <v>0</v>
      </c>
      <c r="HJ48" s="1203">
        <f>HJ41/HJ24*1000</f>
        <v>211.07943979190605</v>
      </c>
      <c r="HK48" s="2067">
        <f t="shared" ref="HK48:HO48" si="339">HK41/HK24*1000</f>
        <v>191.77209165195603</v>
      </c>
      <c r="HL48" s="2066">
        <f t="shared" si="339"/>
        <v>211.07943979190605</v>
      </c>
      <c r="HM48" s="2067">
        <f t="shared" si="339"/>
        <v>191.77209165195603</v>
      </c>
      <c r="HN48" s="1203">
        <f t="shared" si="339"/>
        <v>211.07943979190605</v>
      </c>
      <c r="HO48" s="2021">
        <f t="shared" si="339"/>
        <v>195.50778601958208</v>
      </c>
      <c r="HP48" s="1999"/>
      <c r="HQ48" s="310"/>
      <c r="HR48" s="2149">
        <f t="shared" si="337"/>
        <v>2026</v>
      </c>
      <c r="HS48" s="2149">
        <f t="shared" si="337"/>
        <v>2025</v>
      </c>
      <c r="HT48" s="2149">
        <f t="shared" si="337"/>
        <v>2026</v>
      </c>
      <c r="HU48" s="2149">
        <f t="shared" si="337"/>
        <v>2025</v>
      </c>
      <c r="HV48" s="2149">
        <f t="shared" si="337"/>
        <v>2026</v>
      </c>
      <c r="HW48" s="2149">
        <f t="shared" si="337"/>
        <v>2025</v>
      </c>
      <c r="HX48" s="310"/>
      <c r="HY48" s="310"/>
      <c r="HZ48" s="892"/>
      <c r="IA48" s="923" t="s">
        <v>379</v>
      </c>
      <c r="IB48" s="2066">
        <f t="shared" ref="IB48:IG51" si="340">HJ48</f>
        <v>211.07943979190605</v>
      </c>
      <c r="IC48" s="2067">
        <f t="shared" si="340"/>
        <v>191.77209165195603</v>
      </c>
      <c r="ID48" s="2066">
        <f t="shared" si="340"/>
        <v>211.07943979190605</v>
      </c>
      <c r="IE48" s="2067">
        <f t="shared" si="340"/>
        <v>191.77209165195603</v>
      </c>
      <c r="IF48" s="2066">
        <f t="shared" si="340"/>
        <v>211.07943979190605</v>
      </c>
      <c r="IG48" s="2396">
        <f t="shared" si="340"/>
        <v>195.50778601958208</v>
      </c>
      <c r="IH48" s="1219"/>
      <c r="IJ48" s="1678">
        <f t="shared" si="173"/>
        <v>0</v>
      </c>
      <c r="IK48" s="264">
        <f t="shared" si="23"/>
        <v>38</v>
      </c>
      <c r="IL48" s="242"/>
      <c r="IM48" s="242"/>
      <c r="IN48" s="1190" t="str">
        <f t="shared" si="312"/>
        <v>Uppskjuten skatt på ovanstående</v>
      </c>
      <c r="IO48" s="1242"/>
      <c r="IP48" s="1242"/>
      <c r="IQ48" s="1242"/>
      <c r="IR48" s="242"/>
      <c r="IS48" s="242"/>
      <c r="IT48" s="1678">
        <f t="shared" si="174"/>
        <v>0</v>
      </c>
      <c r="IU48" s="264">
        <f t="shared" si="24"/>
        <v>38</v>
      </c>
      <c r="IV48" s="242"/>
      <c r="IW48" s="242"/>
      <c r="IX48" s="1723" t="s">
        <v>381</v>
      </c>
      <c r="IY48" s="1190"/>
      <c r="IZ48" s="1232">
        <f t="shared" si="330"/>
        <v>0.60000000000000009</v>
      </c>
      <c r="JA48" s="1242">
        <f t="shared" si="86"/>
        <v>0</v>
      </c>
      <c r="JB48" s="1232">
        <f t="shared" si="331"/>
        <v>0.60000000000000009</v>
      </c>
      <c r="JC48" s="242"/>
      <c r="JD48" s="242"/>
      <c r="JE48" s="242"/>
      <c r="JF48" s="1190" t="str">
        <f t="shared" si="313"/>
        <v>Uppskjuten skatt på ovanstående</v>
      </c>
      <c r="JG48" s="1232">
        <f t="shared" si="335"/>
        <v>0.60000000000000009</v>
      </c>
      <c r="JH48" s="1242"/>
      <c r="JI48" s="1232">
        <f t="shared" si="336"/>
        <v>0.60000000000000009</v>
      </c>
      <c r="JJ48" s="242"/>
      <c r="JK48" s="242"/>
      <c r="JL48" s="242"/>
      <c r="JM48" s="1190" t="s">
        <v>382</v>
      </c>
      <c r="JN48" s="1232">
        <f t="shared" si="87"/>
        <v>0.60000000000000009</v>
      </c>
      <c r="JO48" s="1242"/>
      <c r="JP48" s="1232">
        <f t="shared" si="88"/>
        <v>0.60000000000000009</v>
      </c>
      <c r="JQ48" s="242"/>
    </row>
    <row r="49" spans="2:277" s="269" customFormat="1" ht="11.25" customHeight="1" outlineLevel="1" x14ac:dyDescent="0.2">
      <c r="B49" s="264">
        <f t="shared" si="27"/>
        <v>40</v>
      </c>
      <c r="D49" s="377" t="str">
        <f>+[2]rapkvart!$B42</f>
        <v>Summa poster som kommer att omklassificeras till nettoresultatet:</v>
      </c>
      <c r="E49" s="377"/>
      <c r="G49" s="1090">
        <f>[2]rapkvart!S42</f>
        <v>-1.2999999999999998</v>
      </c>
      <c r="H49" s="1090">
        <f>[2]rapkvart!T42</f>
        <v>1.2</v>
      </c>
      <c r="I49" s="1090">
        <f>[2]rapkvart!U42</f>
        <v>6</v>
      </c>
      <c r="J49" s="1090">
        <f>[2]rapkvart!V42</f>
        <v>2.8</v>
      </c>
      <c r="K49" s="1090">
        <f>[2]rapkvart!O42</f>
        <v>9.6</v>
      </c>
      <c r="L49" s="1090">
        <f>[2]rapkvart!P42</f>
        <v>3.4</v>
      </c>
      <c r="M49" s="1090">
        <f>[2]rapkvart!Q42</f>
        <v>4.0999999999999996</v>
      </c>
      <c r="N49" s="1090">
        <f>[2]rapkvart!R42</f>
        <v>4.6999999999999993</v>
      </c>
      <c r="O49" s="1090">
        <f>[2]rapkvart!K42</f>
        <v>-2.9000000000000004</v>
      </c>
      <c r="P49" s="1090">
        <f>[2]rapkvart!L42</f>
        <v>-4.7</v>
      </c>
      <c r="Q49" s="1090">
        <f>[2]rapkvart!M42</f>
        <v>4.0999999999999996</v>
      </c>
      <c r="R49" s="1090">
        <f>[2]rapkvart!N42</f>
        <v>4.6999999999999993</v>
      </c>
      <c r="S49" s="1072"/>
      <c r="T49" s="1588">
        <f>SUM(T46:T48)</f>
        <v>-1.2999999999999998</v>
      </c>
      <c r="U49" s="1588">
        <f t="shared" ref="U49:AE49" si="341">SUM(U46:U48)</f>
        <v>2.5</v>
      </c>
      <c r="V49" s="1588">
        <f t="shared" si="341"/>
        <v>4.8</v>
      </c>
      <c r="W49" s="1588">
        <f t="shared" si="341"/>
        <v>-3.2</v>
      </c>
      <c r="X49" s="1588">
        <f t="shared" si="341"/>
        <v>9.6</v>
      </c>
      <c r="Y49" s="1588">
        <f t="shared" si="341"/>
        <v>-6.2000000000000011</v>
      </c>
      <c r="Z49" s="1588">
        <f t="shared" si="341"/>
        <v>0.69999999999999973</v>
      </c>
      <c r="AA49" s="1588">
        <f t="shared" si="341"/>
        <v>0.6</v>
      </c>
      <c r="AB49" s="1588">
        <f t="shared" si="341"/>
        <v>-2.9000000000000004</v>
      </c>
      <c r="AC49" s="1588">
        <f t="shared" si="341"/>
        <v>-1.7999999999999994</v>
      </c>
      <c r="AD49" s="1588">
        <f t="shared" si="341"/>
        <v>8.7999999999999989</v>
      </c>
      <c r="AE49" s="1588">
        <f t="shared" si="341"/>
        <v>0.6</v>
      </c>
      <c r="AV49" s="1194" t="str">
        <f t="shared" si="306"/>
        <v>Summa poster som kommer att omklassificeras till nettoresultatet:</v>
      </c>
      <c r="AW49" s="1191"/>
      <c r="AX49" s="1243">
        <f t="shared" si="314"/>
        <v>-1.7999999999999994</v>
      </c>
      <c r="AY49" s="1244">
        <f t="shared" si="315"/>
        <v>-6.2000000000000011</v>
      </c>
      <c r="AZ49" s="1243">
        <f t="shared" si="316"/>
        <v>-4.7</v>
      </c>
      <c r="BA49" s="1244">
        <f t="shared" si="317"/>
        <v>3.4</v>
      </c>
      <c r="BB49" s="1243">
        <f t="shared" si="318"/>
        <v>-3.4</v>
      </c>
      <c r="BC49" s="1244">
        <f t="shared" si="319"/>
        <v>4.6999999999999993</v>
      </c>
      <c r="BE49" s="1194" t="s">
        <v>384</v>
      </c>
      <c r="BF49" s="1191"/>
      <c r="BG49" s="1243">
        <f t="shared" si="320"/>
        <v>-1.7999999999999994</v>
      </c>
      <c r="BH49" s="1244">
        <f t="shared" si="321"/>
        <v>-6.2000000000000011</v>
      </c>
      <c r="BI49" s="1243">
        <f t="shared" si="322"/>
        <v>-4.7</v>
      </c>
      <c r="BJ49" s="1244">
        <f t="shared" si="323"/>
        <v>3.4</v>
      </c>
      <c r="BK49" s="1243">
        <f t="shared" si="324"/>
        <v>-3.4</v>
      </c>
      <c r="BL49" s="1244">
        <f t="shared" si="325"/>
        <v>4.6999999999999993</v>
      </c>
      <c r="BN49" s="242"/>
      <c r="BP49" s="302" t="str">
        <f t="shared" si="307"/>
        <v>Summa poster som kommer att omklassificeras till nettoresultatet:</v>
      </c>
      <c r="BQ49" s="303"/>
      <c r="BR49" s="302"/>
      <c r="BS49" s="302"/>
      <c r="BT49" s="302"/>
      <c r="BU49" s="302"/>
      <c r="BV49" s="302"/>
      <c r="BW49" s="302"/>
      <c r="BX49" s="302"/>
      <c r="BY49" s="302"/>
      <c r="BZ49" s="302"/>
      <c r="CA49" s="302"/>
      <c r="CB49" s="302"/>
      <c r="CE49" s="1288">
        <f t="shared" si="171"/>
        <v>0</v>
      </c>
      <c r="CF49" s="281">
        <f>CF48+1</f>
        <v>39</v>
      </c>
      <c r="CH49" s="1608"/>
      <c r="CI49" s="302" t="s">
        <v>385</v>
      </c>
      <c r="CJ49" s="303"/>
      <c r="CK49" s="966">
        <f t="shared" ref="CK49" si="342">SUM(CK46:CK48)</f>
        <v>-1.2999999999999998</v>
      </c>
      <c r="CL49" s="966">
        <f t="shared" ref="CL49:CV49" si="343">SUM(CL46:CL48)</f>
        <v>2.5</v>
      </c>
      <c r="CM49" s="966">
        <f t="shared" si="343"/>
        <v>4.8</v>
      </c>
      <c r="CN49" s="966">
        <f t="shared" si="343"/>
        <v>-3.2</v>
      </c>
      <c r="CO49" s="966">
        <f t="shared" si="343"/>
        <v>9.6</v>
      </c>
      <c r="CP49" s="966">
        <f t="shared" si="343"/>
        <v>-6.2000000000000011</v>
      </c>
      <c r="CQ49" s="966">
        <f t="shared" si="343"/>
        <v>0.69999999999999973</v>
      </c>
      <c r="CR49" s="966">
        <f t="shared" si="343"/>
        <v>0.6</v>
      </c>
      <c r="CS49" s="966">
        <f t="shared" si="343"/>
        <v>-2.9000000000000004</v>
      </c>
      <c r="CT49" s="966">
        <f t="shared" si="343"/>
        <v>-1.7999999999999994</v>
      </c>
      <c r="CU49" s="966">
        <f t="shared" si="343"/>
        <v>8.7999999999999989</v>
      </c>
      <c r="CV49" s="966">
        <f t="shared" si="343"/>
        <v>0.6</v>
      </c>
      <c r="CW49" s="1008"/>
      <c r="CX49" s="1008"/>
      <c r="CY49" s="1008"/>
      <c r="CZ49" s="1008"/>
      <c r="DA49" s="1008"/>
      <c r="DB49" s="1008"/>
      <c r="DC49" s="1008"/>
      <c r="DD49" s="1008"/>
      <c r="DE49" s="1008"/>
      <c r="DF49" s="1008"/>
      <c r="DG49" s="1008"/>
      <c r="DH49" s="1008"/>
      <c r="DI49" s="1008"/>
      <c r="DJ49" s="244"/>
      <c r="DK49" s="1633" t="str">
        <f t="shared" si="73"/>
        <v>Summa poster som kommer att omklassificeras till nettoresultatet:</v>
      </c>
      <c r="DL49" s="1616">
        <f t="shared" si="38"/>
        <v>0</v>
      </c>
      <c r="DM49" s="1616">
        <f t="shared" si="39"/>
        <v>0</v>
      </c>
      <c r="DN49" s="1616">
        <f t="shared" si="40"/>
        <v>0</v>
      </c>
      <c r="DO49" s="1616">
        <f t="shared" si="41"/>
        <v>0</v>
      </c>
      <c r="DP49" s="1616">
        <f t="shared" si="42"/>
        <v>0</v>
      </c>
      <c r="DQ49" s="1616">
        <f t="shared" si="43"/>
        <v>0</v>
      </c>
      <c r="DR49" s="1616">
        <f t="shared" si="44"/>
        <v>0</v>
      </c>
      <c r="DS49" s="1616">
        <f t="shared" si="45"/>
        <v>0</v>
      </c>
      <c r="DT49" s="1616">
        <f t="shared" si="46"/>
        <v>0</v>
      </c>
      <c r="DU49" s="1649">
        <f t="shared" si="47"/>
        <v>0</v>
      </c>
      <c r="DV49" s="1616">
        <f t="shared" si="48"/>
        <v>0</v>
      </c>
      <c r="DW49" s="1616">
        <f t="shared" si="49"/>
        <v>0</v>
      </c>
      <c r="DY49" s="1194" t="str">
        <f t="shared" si="308"/>
        <v>Summa poster som kommer att omklassificeras till nettoresultatet:</v>
      </c>
      <c r="DZ49" s="1191"/>
      <c r="EA49" s="1243">
        <f t="shared" ref="EA49:EF49" si="344">SUM(EA46:EA48)</f>
        <v>-1.7999999999999994</v>
      </c>
      <c r="EB49" s="1244">
        <f t="shared" si="344"/>
        <v>-6.2000000000000011</v>
      </c>
      <c r="EC49" s="1243">
        <f t="shared" si="344"/>
        <v>-4.7</v>
      </c>
      <c r="ED49" s="1244">
        <f t="shared" si="344"/>
        <v>3.4</v>
      </c>
      <c r="EE49" s="1243">
        <f t="shared" si="344"/>
        <v>-3.4</v>
      </c>
      <c r="EF49" s="1244">
        <f t="shared" si="344"/>
        <v>4.6999999999999993</v>
      </c>
      <c r="EH49" s="242"/>
      <c r="EI49" s="242"/>
      <c r="EK49" s="1194" t="s">
        <v>386</v>
      </c>
      <c r="EL49" s="1191"/>
      <c r="EM49" s="1243">
        <f t="shared" si="74"/>
        <v>-1.7999999999999994</v>
      </c>
      <c r="EN49" s="1244">
        <f t="shared" si="75"/>
        <v>-6.2000000000000011</v>
      </c>
      <c r="EO49" s="1243">
        <f t="shared" si="76"/>
        <v>-4.7</v>
      </c>
      <c r="EP49" s="1244">
        <f t="shared" si="77"/>
        <v>3.4</v>
      </c>
      <c r="EQ49" s="1243">
        <f t="shared" si="78"/>
        <v>-3.4</v>
      </c>
      <c r="ER49" s="1244">
        <f t="shared" si="79"/>
        <v>4.6999999999999993</v>
      </c>
      <c r="ET49" s="242"/>
      <c r="EW49" s="310"/>
      <c r="EX49" s="310"/>
      <c r="EY49" s="310"/>
      <c r="EZ49" s="310"/>
      <c r="FA49" s="310"/>
      <c r="FB49" s="310"/>
      <c r="FC49" s="310"/>
      <c r="FD49" s="310"/>
      <c r="FE49" s="310"/>
      <c r="FF49" s="310"/>
      <c r="FG49" s="310"/>
      <c r="FH49" s="310"/>
      <c r="FI49" s="310"/>
      <c r="FJ49" s="310"/>
      <c r="FK49" s="310"/>
      <c r="FL49" s="310"/>
      <c r="FM49" s="310"/>
      <c r="FN49" s="310"/>
      <c r="FO49" s="310"/>
      <c r="FP49" s="310"/>
      <c r="FQ49" s="310"/>
      <c r="FR49" s="310"/>
      <c r="FS49" s="310"/>
      <c r="FT49" s="310"/>
      <c r="FU49" s="310"/>
      <c r="FV49" s="310"/>
      <c r="FW49" s="310"/>
      <c r="FX49" s="310"/>
      <c r="FY49" s="310"/>
      <c r="FZ49" s="310"/>
      <c r="GA49" s="310"/>
      <c r="GB49" s="310"/>
      <c r="GC49" s="310"/>
      <c r="GD49" s="310"/>
      <c r="GE49" s="310"/>
      <c r="GF49" s="310"/>
      <c r="GG49" s="310"/>
      <c r="GH49" s="310"/>
      <c r="GI49" s="310"/>
      <c r="GJ49" s="310"/>
      <c r="GK49" s="310"/>
      <c r="GL49" s="310"/>
      <c r="GM49" s="310"/>
      <c r="GN49" s="310"/>
      <c r="GO49" s="310"/>
      <c r="GP49" s="310"/>
      <c r="GQ49" s="310"/>
      <c r="GR49" s="310"/>
      <c r="GS49" s="310"/>
      <c r="GT49" s="890"/>
      <c r="GU49" s="1171" t="s">
        <v>911</v>
      </c>
      <c r="GV49" s="242"/>
      <c r="GW49" s="1996">
        <f t="shared" ref="GW49:HH49" si="345">((GW195-GW193)*1000)/GW$23</f>
        <v>0.93217799702662696</v>
      </c>
      <c r="GX49" s="1996">
        <f t="shared" si="345"/>
        <v>2.8918482227328073</v>
      </c>
      <c r="GY49" s="1996">
        <f t="shared" si="345"/>
        <v>-0.23354710095960843</v>
      </c>
      <c r="GZ49" s="1996">
        <f t="shared" si="345"/>
        <v>-0.21489593188266215</v>
      </c>
      <c r="HA49" s="1996">
        <f t="shared" si="345"/>
        <v>3.4628125422354441</v>
      </c>
      <c r="HB49" s="1996">
        <f t="shared" si="345"/>
        <v>0.97699013380184319</v>
      </c>
      <c r="HC49" s="1996">
        <f t="shared" si="345"/>
        <v>0.15166238680903724</v>
      </c>
      <c r="HD49" s="1996">
        <f t="shared" si="345"/>
        <v>-0.4572307068522658</v>
      </c>
      <c r="HE49" s="1996">
        <f t="shared" si="345"/>
        <v>2.3082971012298934</v>
      </c>
      <c r="HF49" s="1996">
        <f t="shared" si="345"/>
        <v>6.5392685043924983</v>
      </c>
      <c r="HG49" s="1996">
        <f t="shared" si="345"/>
        <v>-1.6096769833761371</v>
      </c>
      <c r="HH49" s="1996">
        <f t="shared" si="345"/>
        <v>2.2964724962832919</v>
      </c>
      <c r="HJ49" s="1203">
        <f t="shared" ref="HJ49:HO51" si="346">HJ201</f>
        <v>6.5392685043924983</v>
      </c>
      <c r="HK49" s="1204">
        <f t="shared" si="346"/>
        <v>0.97699013380184319</v>
      </c>
      <c r="HL49" s="1203">
        <f t="shared" si="346"/>
        <v>8.8475656056223908</v>
      </c>
      <c r="HM49" s="1204">
        <f t="shared" si="346"/>
        <v>4.4398026760372868</v>
      </c>
      <c r="HN49" s="1203">
        <f t="shared" si="346"/>
        <v>8.5419972855791642</v>
      </c>
      <c r="HO49" s="2137">
        <f t="shared" si="346"/>
        <v>4.1342343559940575</v>
      </c>
      <c r="HP49" s="2136"/>
      <c r="HQ49" s="310"/>
      <c r="HR49" s="2143">
        <f t="shared" ref="HR49:HW51" si="347">EA40</f>
        <v>6.5394673664221568</v>
      </c>
      <c r="HS49" s="2144">
        <f t="shared" si="347"/>
        <v>0.97701984450126389</v>
      </c>
      <c r="HT49" s="2143">
        <f t="shared" si="347"/>
        <v>8.8478346639815459</v>
      </c>
      <c r="HU49" s="2144">
        <f t="shared" si="347"/>
        <v>4.4399376923882512</v>
      </c>
      <c r="HV49" s="2143">
        <f t="shared" si="347"/>
        <v>8.5422570514713883</v>
      </c>
      <c r="HW49" s="2144">
        <f t="shared" si="347"/>
        <v>4.1343600798780926</v>
      </c>
      <c r="HX49" s="310"/>
      <c r="HY49" s="310"/>
      <c r="HZ49" s="892"/>
      <c r="IA49" s="1171" t="s">
        <v>913</v>
      </c>
      <c r="IB49" s="2066">
        <f t="shared" si="340"/>
        <v>6.5392685043924983</v>
      </c>
      <c r="IC49" s="2067">
        <f t="shared" si="340"/>
        <v>0.97699013380184319</v>
      </c>
      <c r="ID49" s="2066">
        <f t="shared" si="340"/>
        <v>8.8475656056223908</v>
      </c>
      <c r="IE49" s="2067">
        <f t="shared" si="340"/>
        <v>4.4398026760372868</v>
      </c>
      <c r="IF49" s="2066">
        <f t="shared" si="340"/>
        <v>8.5419972855791642</v>
      </c>
      <c r="IG49" s="2397">
        <f t="shared" si="340"/>
        <v>4.1342343559940575</v>
      </c>
      <c r="IH49" s="1221"/>
      <c r="IJ49" s="1678">
        <f>IF(IN55=BP55,0,1)</f>
        <v>0</v>
      </c>
      <c r="IK49" s="264" t="e">
        <f>#REF!+1</f>
        <v>#REF!</v>
      </c>
      <c r="IL49" s="242"/>
      <c r="IM49" s="242"/>
      <c r="IN49" s="1194" t="str">
        <f t="shared" ref="IN49:IN57" si="348">IX49</f>
        <v>Summa poster som kommer att omklassificeras till nettoresultatet:</v>
      </c>
      <c r="IO49" s="1702"/>
      <c r="IP49" s="1702"/>
      <c r="IQ49" s="1702"/>
      <c r="IR49" s="242"/>
      <c r="IS49" s="242"/>
      <c r="IT49" s="1678">
        <f t="shared" si="174"/>
        <v>0</v>
      </c>
      <c r="IU49" s="264">
        <f t="shared" ref="IU49:IU57" si="349">IU48+1</f>
        <v>39</v>
      </c>
      <c r="IV49" s="242"/>
      <c r="IW49" s="242"/>
      <c r="IX49" s="1194" t="s">
        <v>385</v>
      </c>
      <c r="IY49" s="1194"/>
      <c r="IZ49" s="1243">
        <f t="shared" si="330"/>
        <v>-1.7999999999999994</v>
      </c>
      <c r="JA49" s="1702">
        <f t="shared" si="86"/>
        <v>0</v>
      </c>
      <c r="JB49" s="1243">
        <f t="shared" si="331"/>
        <v>-1.7999999999999994</v>
      </c>
      <c r="JC49" s="242"/>
      <c r="JD49" s="242"/>
      <c r="JE49" s="242"/>
      <c r="JF49" s="1194" t="str">
        <f t="shared" ref="JF49:JF57" si="350">IX49</f>
        <v>Summa poster som kommer att omklassificeras till nettoresultatet:</v>
      </c>
      <c r="JG49" s="1243">
        <f>IZ49</f>
        <v>-1.7999999999999994</v>
      </c>
      <c r="JH49" s="1702">
        <f>JA49</f>
        <v>0</v>
      </c>
      <c r="JI49" s="1243">
        <f>JB49</f>
        <v>-1.7999999999999994</v>
      </c>
      <c r="JJ49" s="242"/>
      <c r="JK49" s="242"/>
      <c r="JL49" s="242"/>
      <c r="JM49" s="1194" t="s">
        <v>386</v>
      </c>
      <c r="JN49" s="1243">
        <f>$JG49</f>
        <v>-1.7999999999999994</v>
      </c>
      <c r="JO49" s="1702">
        <f>JH49</f>
        <v>0</v>
      </c>
      <c r="JP49" s="1243">
        <f>$JI49</f>
        <v>-1.7999999999999994</v>
      </c>
      <c r="JQ49" s="242"/>
    </row>
    <row r="50" spans="2:277" s="269" customFormat="1" ht="11.25" customHeight="1" outlineLevel="1" x14ac:dyDescent="0.2">
      <c r="B50" s="264">
        <f t="shared" si="27"/>
        <v>41</v>
      </c>
      <c r="D50" s="379" t="str">
        <f>+[2]rapkvart!$B43</f>
        <v>Omvärderingar av förmånsbestämda pensionsåtaganden</v>
      </c>
      <c r="E50" s="379"/>
      <c r="G50" s="1085">
        <f>[2]rapkvart!S43</f>
        <v>0.1</v>
      </c>
      <c r="H50" s="1085">
        <f>[2]rapkvart!T43</f>
        <v>0.1</v>
      </c>
      <c r="I50" s="1085">
        <f>[2]rapkvart!U43</f>
        <v>0.1</v>
      </c>
      <c r="J50" s="1085">
        <f>[2]rapkvart!V43</f>
        <v>-0.2</v>
      </c>
      <c r="K50" s="1085">
        <f>[2]rapkvart!O43</f>
        <v>0</v>
      </c>
      <c r="L50" s="1085">
        <f>[2]rapkvart!P43</f>
        <v>-0.1</v>
      </c>
      <c r="M50" s="1085">
        <f>[2]rapkvart!Q43</f>
        <v>-0.1</v>
      </c>
      <c r="N50" s="1085">
        <f>[2]rapkvart!R43</f>
        <v>-0.1</v>
      </c>
      <c r="O50" s="1085">
        <f>[2]rapkvart!K43</f>
        <v>0</v>
      </c>
      <c r="P50" s="1085">
        <f>[2]rapkvart!L43</f>
        <v>0</v>
      </c>
      <c r="Q50" s="1085">
        <f>[2]rapkvart!M43</f>
        <v>-0.1</v>
      </c>
      <c r="R50" s="1085">
        <f>[2]rapkvart!N43</f>
        <v>-0.1</v>
      </c>
      <c r="S50" s="1072"/>
      <c r="T50" s="1073">
        <f>[2]rapkvart!AE43</f>
        <v>0.1</v>
      </c>
      <c r="U50" s="1073">
        <f>[2]rapkvart!AF43</f>
        <v>0</v>
      </c>
      <c r="V50" s="1073">
        <f>[2]rapkvart!AG43</f>
        <v>0</v>
      </c>
      <c r="W50" s="1073">
        <f>[2]rapkvart!AH43</f>
        <v>-0.30000000000000004</v>
      </c>
      <c r="X50" s="1073">
        <f>[2]rapkvart!AA43</f>
        <v>0</v>
      </c>
      <c r="Y50" s="1073">
        <f>[2]rapkvart!AB43</f>
        <v>-0.1</v>
      </c>
      <c r="Z50" s="1073">
        <f>[2]rapkvart!AC43</f>
        <v>0</v>
      </c>
      <c r="AA50" s="1073">
        <f>[2]rapkvart!AD43</f>
        <v>0</v>
      </c>
      <c r="AB50" s="1073">
        <f>[2]rapkvart!W43</f>
        <v>0</v>
      </c>
      <c r="AC50" s="1073">
        <f>[2]rapkvart!X43</f>
        <v>0</v>
      </c>
      <c r="AD50" s="1073">
        <f>[2]rapkvart!Y43</f>
        <v>-0.1</v>
      </c>
      <c r="AE50" s="1073">
        <f>[2]rapkvart!Z43</f>
        <v>0</v>
      </c>
      <c r="AV50" s="1190" t="str">
        <f t="shared" si="306"/>
        <v>Omvärderingar av förmånsbestämda pensionsåtaganden</v>
      </c>
      <c r="AW50" s="1191"/>
      <c r="AX50" s="1232">
        <f t="shared" si="314"/>
        <v>0</v>
      </c>
      <c r="AY50" s="1233">
        <f t="shared" si="315"/>
        <v>-0.1</v>
      </c>
      <c r="AZ50" s="1232">
        <f t="shared" si="316"/>
        <v>0</v>
      </c>
      <c r="BA50" s="1233">
        <f t="shared" si="317"/>
        <v>-0.1</v>
      </c>
      <c r="BB50" s="1232">
        <f t="shared" si="318"/>
        <v>0</v>
      </c>
      <c r="BC50" s="1233">
        <f t="shared" si="319"/>
        <v>-0.1</v>
      </c>
      <c r="BE50" s="1190" t="s">
        <v>388</v>
      </c>
      <c r="BF50" s="1191"/>
      <c r="BG50" s="1232">
        <f t="shared" si="320"/>
        <v>0</v>
      </c>
      <c r="BH50" s="1233">
        <f t="shared" si="321"/>
        <v>-0.1</v>
      </c>
      <c r="BI50" s="1232">
        <f t="shared" si="322"/>
        <v>0</v>
      </c>
      <c r="BJ50" s="1233">
        <f t="shared" si="323"/>
        <v>-0.1</v>
      </c>
      <c r="BK50" s="1232">
        <f t="shared" si="324"/>
        <v>0</v>
      </c>
      <c r="BL50" s="1233">
        <f t="shared" si="325"/>
        <v>-0.1</v>
      </c>
      <c r="BN50" s="242"/>
      <c r="BP50" s="320" t="str">
        <f t="shared" si="307"/>
        <v>Omvärderingar av förmånsbestämda pensionsåtaganden</v>
      </c>
      <c r="BQ50" s="321"/>
      <c r="BR50" s="320"/>
      <c r="BS50" s="320"/>
      <c r="BT50" s="320"/>
      <c r="BU50" s="320"/>
      <c r="BV50" s="320"/>
      <c r="BW50" s="320"/>
      <c r="BX50" s="320"/>
      <c r="BY50" s="320"/>
      <c r="BZ50" s="320"/>
      <c r="CA50" s="320"/>
      <c r="CB50" s="320"/>
      <c r="CE50" s="1288">
        <f t="shared" si="171"/>
        <v>0</v>
      </c>
      <c r="CF50" s="281">
        <f t="shared" si="36"/>
        <v>40</v>
      </c>
      <c r="CH50" s="1608"/>
      <c r="CI50" s="1021" t="s">
        <v>389</v>
      </c>
      <c r="CJ50" s="1022"/>
      <c r="CK50" s="1030">
        <f t="shared" ref="CK50:CV50" si="351">T50+BQ50</f>
        <v>0.1</v>
      </c>
      <c r="CL50" s="1030">
        <f t="shared" si="351"/>
        <v>0</v>
      </c>
      <c r="CM50" s="1030">
        <f t="shared" si="351"/>
        <v>0</v>
      </c>
      <c r="CN50" s="1030">
        <f t="shared" si="351"/>
        <v>-0.30000000000000004</v>
      </c>
      <c r="CO50" s="1030">
        <f t="shared" si="351"/>
        <v>0</v>
      </c>
      <c r="CP50" s="1030">
        <f t="shared" si="351"/>
        <v>-0.1</v>
      </c>
      <c r="CQ50" s="1030">
        <f t="shared" si="351"/>
        <v>0</v>
      </c>
      <c r="CR50" s="1030">
        <f t="shared" si="351"/>
        <v>0</v>
      </c>
      <c r="CS50" s="1030">
        <f t="shared" si="351"/>
        <v>0</v>
      </c>
      <c r="CT50" s="1030">
        <f t="shared" si="351"/>
        <v>0</v>
      </c>
      <c r="CU50" s="1030">
        <f t="shared" si="351"/>
        <v>-0.1</v>
      </c>
      <c r="CV50" s="1030">
        <f t="shared" si="351"/>
        <v>0</v>
      </c>
      <c r="CW50" s="369"/>
      <c r="CX50" s="1008"/>
      <c r="CY50" s="1008"/>
      <c r="CZ50" s="1008"/>
      <c r="DA50" s="1008"/>
      <c r="DB50" s="1008"/>
      <c r="DC50" s="1008"/>
      <c r="DD50" s="1008"/>
      <c r="DE50" s="1008"/>
      <c r="DF50" s="1008"/>
      <c r="DG50" s="1008"/>
      <c r="DH50" s="1008"/>
      <c r="DI50" s="1008"/>
      <c r="DJ50" s="244"/>
      <c r="DK50" s="1634" t="str">
        <f t="shared" si="73"/>
        <v>Omvärderingar av förmånsbestämda pensionsåtaganden</v>
      </c>
      <c r="DL50" s="1617">
        <f t="shared" si="38"/>
        <v>0</v>
      </c>
      <c r="DM50" s="1617">
        <f t="shared" si="39"/>
        <v>0</v>
      </c>
      <c r="DN50" s="1617">
        <f t="shared" si="40"/>
        <v>0</v>
      </c>
      <c r="DO50" s="1617">
        <f t="shared" si="41"/>
        <v>0</v>
      </c>
      <c r="DP50" s="1617">
        <f t="shared" si="42"/>
        <v>0</v>
      </c>
      <c r="DQ50" s="1617">
        <f t="shared" si="43"/>
        <v>0</v>
      </c>
      <c r="DR50" s="1617">
        <f t="shared" si="44"/>
        <v>0</v>
      </c>
      <c r="DS50" s="1617">
        <f t="shared" si="45"/>
        <v>0</v>
      </c>
      <c r="DT50" s="1617">
        <f t="shared" si="46"/>
        <v>0</v>
      </c>
      <c r="DU50" s="1650">
        <f t="shared" si="47"/>
        <v>0</v>
      </c>
      <c r="DV50" s="1617">
        <f t="shared" si="48"/>
        <v>0</v>
      </c>
      <c r="DW50" s="1617">
        <f t="shared" si="49"/>
        <v>0</v>
      </c>
      <c r="DY50" s="1190" t="str">
        <f t="shared" si="308"/>
        <v>Omvärderingar av förmånsbestämda pensionsåtaganden</v>
      </c>
      <c r="DZ50" s="1191"/>
      <c r="EA50" s="1232">
        <f>SUM(CT50)</f>
        <v>0</v>
      </c>
      <c r="EB50" s="1233">
        <f>SUM(CP50)</f>
        <v>-0.1</v>
      </c>
      <c r="EC50" s="1232">
        <f>SUM(CS50:CT50)</f>
        <v>0</v>
      </c>
      <c r="ED50" s="1233">
        <f>SUM(CO50:CP50)</f>
        <v>-0.1</v>
      </c>
      <c r="EE50" s="1232">
        <f>SUM(CQ50:CT50)</f>
        <v>0</v>
      </c>
      <c r="EF50" s="1233">
        <f>SUM(CO50:CR50)</f>
        <v>-0.1</v>
      </c>
      <c r="EH50" s="242"/>
      <c r="EI50" s="242"/>
      <c r="EK50" s="1190" t="s">
        <v>388</v>
      </c>
      <c r="EL50" s="1191"/>
      <c r="EM50" s="1232">
        <f t="shared" si="74"/>
        <v>0</v>
      </c>
      <c r="EN50" s="1233">
        <f t="shared" si="75"/>
        <v>-0.1</v>
      </c>
      <c r="EO50" s="1232">
        <f t="shared" si="76"/>
        <v>0</v>
      </c>
      <c r="EP50" s="1233">
        <f t="shared" si="77"/>
        <v>-0.1</v>
      </c>
      <c r="EQ50" s="1232">
        <f t="shared" si="78"/>
        <v>0</v>
      </c>
      <c r="ER50" s="1233">
        <f t="shared" si="79"/>
        <v>-0.1</v>
      </c>
      <c r="ET50" s="242"/>
      <c r="EW50" s="310"/>
      <c r="EX50" s="310"/>
      <c r="EY50" s="310"/>
      <c r="EZ50" s="310"/>
      <c r="FA50" s="310"/>
      <c r="FB50" s="310"/>
      <c r="FC50" s="310"/>
      <c r="FD50" s="310"/>
      <c r="FE50" s="310"/>
      <c r="FF50" s="310"/>
      <c r="FG50" s="310"/>
      <c r="FH50" s="310"/>
      <c r="FI50" s="310"/>
      <c r="FJ50" s="310"/>
      <c r="FK50" s="310"/>
      <c r="FL50" s="310"/>
      <c r="FM50" s="310"/>
      <c r="FN50" s="310"/>
      <c r="FO50" s="310"/>
      <c r="FP50" s="310"/>
      <c r="FQ50" s="310"/>
      <c r="FR50" s="310"/>
      <c r="FS50" s="310"/>
      <c r="FT50" s="310"/>
      <c r="FU50" s="310"/>
      <c r="FV50" s="310"/>
      <c r="FW50" s="310"/>
      <c r="FX50" s="310"/>
      <c r="FY50" s="310"/>
      <c r="FZ50" s="310"/>
      <c r="GA50" s="310"/>
      <c r="GB50" s="310"/>
      <c r="GC50" s="310"/>
      <c r="GD50" s="310"/>
      <c r="GE50" s="310"/>
      <c r="GF50" s="310"/>
      <c r="GG50" s="310"/>
      <c r="GH50" s="310"/>
      <c r="GI50" s="310"/>
      <c r="GJ50" s="310"/>
      <c r="GK50" s="310"/>
      <c r="GL50" s="310"/>
      <c r="GM50" s="310"/>
      <c r="GN50" s="310"/>
      <c r="GO50" s="310"/>
      <c r="GP50" s="310"/>
      <c r="GQ50" s="310"/>
      <c r="GR50" s="310"/>
      <c r="GS50" s="310"/>
      <c r="GT50" s="890"/>
      <c r="GU50" s="923" t="s">
        <v>910</v>
      </c>
      <c r="GV50" s="242"/>
      <c r="GW50" s="1996">
        <f t="shared" ref="GW50:HH50" si="352">((GW196)*1000)/GW$23</f>
        <v>0</v>
      </c>
      <c r="GX50" s="1996">
        <f t="shared" si="352"/>
        <v>0</v>
      </c>
      <c r="GY50" s="1996">
        <f t="shared" si="352"/>
        <v>0</v>
      </c>
      <c r="GZ50" s="1996">
        <f t="shared" si="352"/>
        <v>0</v>
      </c>
      <c r="HA50" s="1996">
        <f t="shared" si="352"/>
        <v>-0.37221246114339773</v>
      </c>
      <c r="HB50" s="1996">
        <f t="shared" si="352"/>
        <v>-1.0181105554804701</v>
      </c>
      <c r="HC50" s="1996">
        <f t="shared" si="352"/>
        <v>-0.86484660089201271</v>
      </c>
      <c r="HD50" s="1996">
        <f t="shared" si="352"/>
        <v>-2.1238005135829163</v>
      </c>
      <c r="HE50" s="1996">
        <f t="shared" si="352"/>
        <v>-0.38315988647114474</v>
      </c>
      <c r="HF50" s="1996">
        <f t="shared" si="352"/>
        <v>-8.757940262197593E-2</v>
      </c>
      <c r="HG50" s="1996">
        <f t="shared" si="352"/>
        <v>-1.7844303284227601</v>
      </c>
      <c r="HH50" s="1996">
        <f t="shared" si="352"/>
        <v>-2.1238005135829163</v>
      </c>
      <c r="HJ50" s="1203">
        <f t="shared" si="346"/>
        <v>-8.757940262197593E-2</v>
      </c>
      <c r="HK50" s="1204">
        <f t="shared" si="346"/>
        <v>-1.0181105554804701</v>
      </c>
      <c r="HL50" s="1203">
        <f t="shared" si="346"/>
        <v>-0.47073928909312063</v>
      </c>
      <c r="HM50" s="1204">
        <f t="shared" si="346"/>
        <v>-1.3903230166238678</v>
      </c>
      <c r="HN50" s="1203">
        <f t="shared" si="346"/>
        <v>-3.4593864035680499</v>
      </c>
      <c r="HO50" s="2017">
        <f t="shared" si="346"/>
        <v>-4.3789701310987974</v>
      </c>
      <c r="HP50" s="2136"/>
      <c r="HQ50" s="310"/>
      <c r="HR50" s="2145">
        <f t="shared" si="347"/>
        <v>-8.7582065950106591E-2</v>
      </c>
      <c r="HS50" s="2146">
        <f t="shared" si="347"/>
        <v>-1.0181415166699892</v>
      </c>
      <c r="HT50" s="2145">
        <f t="shared" si="347"/>
        <v>-0.47075360448182296</v>
      </c>
      <c r="HU50" s="2146">
        <f t="shared" si="347"/>
        <v>-1.3903652969579421</v>
      </c>
      <c r="HV50" s="2145">
        <f t="shared" si="347"/>
        <v>-3.4594916050292106</v>
      </c>
      <c r="HW50" s="2146">
        <f t="shared" si="347"/>
        <v>-4.3791032975053303</v>
      </c>
      <c r="HX50" s="310"/>
      <c r="HY50" s="310"/>
      <c r="HZ50" s="892"/>
      <c r="IA50" s="923" t="s">
        <v>917</v>
      </c>
      <c r="IB50" s="1203">
        <f t="shared" si="340"/>
        <v>-8.757940262197593E-2</v>
      </c>
      <c r="IC50" s="1204">
        <f t="shared" si="340"/>
        <v>-1.0181105554804701</v>
      </c>
      <c r="ID50" s="1203">
        <f t="shared" si="340"/>
        <v>-0.47073928909312063</v>
      </c>
      <c r="IE50" s="1204">
        <f t="shared" si="340"/>
        <v>-1.3903230166238678</v>
      </c>
      <c r="IF50" s="1203">
        <f t="shared" si="340"/>
        <v>-3.4593864035680499</v>
      </c>
      <c r="IG50" s="2070">
        <f t="shared" si="340"/>
        <v>-4.3789701310987974</v>
      </c>
      <c r="IH50" s="1221"/>
      <c r="IJ50" s="1678">
        <f>IF(IN56=BP56,0,1)</f>
        <v>0</v>
      </c>
      <c r="IK50" s="264" t="e">
        <f t="shared" ref="IK50:IK51" si="353">IK49+1</f>
        <v>#REF!</v>
      </c>
      <c r="IL50" s="242"/>
      <c r="IM50" s="242"/>
      <c r="IN50" s="1190" t="str">
        <f t="shared" si="348"/>
        <v>Omvärderingar av förmånsbestämda pensionsåtaganden</v>
      </c>
      <c r="IO50" s="1242"/>
      <c r="IP50" s="1242"/>
      <c r="IQ50" s="1242"/>
      <c r="IR50" s="242"/>
      <c r="IS50" s="242"/>
      <c r="IT50" s="1678">
        <f t="shared" si="174"/>
        <v>0</v>
      </c>
      <c r="IU50" s="264">
        <f t="shared" si="349"/>
        <v>40</v>
      </c>
      <c r="IV50" s="242"/>
      <c r="IW50" s="242"/>
      <c r="IX50" s="1723" t="s">
        <v>389</v>
      </c>
      <c r="IY50" s="1190"/>
      <c r="IZ50" s="1232">
        <f t="shared" si="330"/>
        <v>0</v>
      </c>
      <c r="JA50" s="1242">
        <f t="shared" si="86"/>
        <v>0</v>
      </c>
      <c r="JB50" s="1232">
        <f t="shared" si="331"/>
        <v>0</v>
      </c>
      <c r="JC50" s="242"/>
      <c r="JD50" s="242"/>
      <c r="JE50" s="242"/>
      <c r="JF50" s="1190" t="str">
        <f t="shared" si="350"/>
        <v>Omvärderingar av förmånsbestämda pensionsåtaganden</v>
      </c>
      <c r="JG50" s="1232">
        <f>IZ50</f>
        <v>0</v>
      </c>
      <c r="JH50" s="1242"/>
      <c r="JI50" s="1232">
        <f>JB50</f>
        <v>0</v>
      </c>
      <c r="JJ50" s="242"/>
      <c r="JK50" s="242"/>
      <c r="JL50" s="242"/>
      <c r="JM50" s="1190" t="s">
        <v>388</v>
      </c>
      <c r="JN50" s="1232">
        <f>$JG50</f>
        <v>0</v>
      </c>
      <c r="JO50" s="1242"/>
      <c r="JP50" s="1232">
        <f>$JI50</f>
        <v>0</v>
      </c>
      <c r="JQ50" s="242"/>
    </row>
    <row r="51" spans="2:277" s="269" customFormat="1" ht="10.5" customHeight="1" outlineLevel="1" x14ac:dyDescent="0.2">
      <c r="B51" s="264">
        <f t="shared" si="27"/>
        <v>42</v>
      </c>
      <c r="D51" s="380" t="str">
        <f>+[2]rapkvart!$B44</f>
        <v>Summa poster som inte kommer att omklassificeras till nettoresultatet:</v>
      </c>
      <c r="E51" s="380"/>
      <c r="G51" s="1090">
        <f>[2]rapkvart!S44</f>
        <v>0.1</v>
      </c>
      <c r="H51" s="1090">
        <f>[2]rapkvart!T44</f>
        <v>0.1</v>
      </c>
      <c r="I51" s="1090">
        <f>[2]rapkvart!U44</f>
        <v>0.1</v>
      </c>
      <c r="J51" s="1090">
        <f>[2]rapkvart!V44</f>
        <v>-0.2</v>
      </c>
      <c r="K51" s="1090">
        <f>[2]rapkvart!O44</f>
        <v>0</v>
      </c>
      <c r="L51" s="1090">
        <f>[2]rapkvart!P44</f>
        <v>-0.1</v>
      </c>
      <c r="M51" s="1090">
        <f>[2]rapkvart!Q44</f>
        <v>-0.1</v>
      </c>
      <c r="N51" s="1090">
        <f>[2]rapkvart!R44</f>
        <v>-0.1</v>
      </c>
      <c r="O51" s="1090">
        <f>[2]rapkvart!K44</f>
        <v>0</v>
      </c>
      <c r="P51" s="1090">
        <f>[2]rapkvart!L44</f>
        <v>0</v>
      </c>
      <c r="Q51" s="1090">
        <f>[2]rapkvart!M44</f>
        <v>-0.1</v>
      </c>
      <c r="R51" s="1090">
        <f>[2]rapkvart!N44</f>
        <v>-0.1</v>
      </c>
      <c r="S51" s="1072"/>
      <c r="T51" s="1074">
        <f>SUM(T50)</f>
        <v>0.1</v>
      </c>
      <c r="U51" s="1074">
        <f t="shared" ref="U51:X51" si="354">SUM(U50)</f>
        <v>0</v>
      </c>
      <c r="V51" s="1074">
        <f t="shared" si="354"/>
        <v>0</v>
      </c>
      <c r="W51" s="1074">
        <f t="shared" si="354"/>
        <v>-0.30000000000000004</v>
      </c>
      <c r="X51" s="1074">
        <f t="shared" si="354"/>
        <v>0</v>
      </c>
      <c r="Y51" s="1074">
        <f t="shared" ref="Y51" si="355">SUM(Y50)</f>
        <v>-0.1</v>
      </c>
      <c r="Z51" s="1074">
        <f t="shared" ref="Z51" si="356">SUM(Z50)</f>
        <v>0</v>
      </c>
      <c r="AA51" s="1074">
        <f t="shared" ref="AA51:AB51" si="357">SUM(AA50)</f>
        <v>0</v>
      </c>
      <c r="AB51" s="1074">
        <f t="shared" si="357"/>
        <v>0</v>
      </c>
      <c r="AC51" s="1074">
        <f t="shared" ref="AC51" si="358">SUM(AC50)</f>
        <v>0</v>
      </c>
      <c r="AD51" s="1074">
        <f t="shared" ref="AD51" si="359">SUM(AD50)</f>
        <v>-0.1</v>
      </c>
      <c r="AE51" s="1074">
        <f t="shared" ref="AE51" si="360">SUM(AE50)</f>
        <v>0</v>
      </c>
      <c r="AV51" s="1194" t="str">
        <f t="shared" si="306"/>
        <v>Summa poster som inte kommer att omklassificeras till nettoresultatet:</v>
      </c>
      <c r="AW51" s="1191"/>
      <c r="AX51" s="1243">
        <f t="shared" si="314"/>
        <v>0</v>
      </c>
      <c r="AY51" s="1244">
        <f t="shared" si="315"/>
        <v>-0.1</v>
      </c>
      <c r="AZ51" s="1243">
        <f t="shared" si="316"/>
        <v>0</v>
      </c>
      <c r="BA51" s="1244">
        <f t="shared" si="317"/>
        <v>-0.1</v>
      </c>
      <c r="BB51" s="1243">
        <f t="shared" si="318"/>
        <v>0</v>
      </c>
      <c r="BC51" s="1244">
        <f t="shared" si="319"/>
        <v>-0.1</v>
      </c>
      <c r="BE51" s="1194" t="s">
        <v>392</v>
      </c>
      <c r="BF51" s="1191"/>
      <c r="BG51" s="1243">
        <f t="shared" si="320"/>
        <v>0</v>
      </c>
      <c r="BH51" s="1244">
        <f t="shared" si="321"/>
        <v>-0.1</v>
      </c>
      <c r="BI51" s="1243">
        <f t="shared" si="322"/>
        <v>0</v>
      </c>
      <c r="BJ51" s="1244">
        <f t="shared" si="323"/>
        <v>-0.1</v>
      </c>
      <c r="BK51" s="1243">
        <f t="shared" si="324"/>
        <v>0</v>
      </c>
      <c r="BL51" s="1244">
        <f t="shared" si="325"/>
        <v>-0.1</v>
      </c>
      <c r="BN51" s="242"/>
      <c r="BP51" s="381" t="str">
        <f t="shared" si="307"/>
        <v>Summa poster som inte kommer att omklassificeras till nettoresultatet:</v>
      </c>
      <c r="BQ51" s="382"/>
      <c r="BR51" s="381"/>
      <c r="BS51" s="381"/>
      <c r="BT51" s="381"/>
      <c r="BU51" s="381"/>
      <c r="BV51" s="381"/>
      <c r="BW51" s="381"/>
      <c r="BX51" s="381"/>
      <c r="BY51" s="381"/>
      <c r="BZ51" s="381"/>
      <c r="CA51" s="381"/>
      <c r="CB51" s="381"/>
      <c r="CE51" s="1288">
        <f t="shared" si="171"/>
        <v>0</v>
      </c>
      <c r="CF51" s="281">
        <f t="shared" si="36"/>
        <v>41</v>
      </c>
      <c r="CH51" s="1608"/>
      <c r="CI51" s="381" t="s">
        <v>393</v>
      </c>
      <c r="CJ51" s="382"/>
      <c r="CK51" s="1371">
        <f>SUM(CK50)</f>
        <v>0.1</v>
      </c>
      <c r="CL51" s="1371">
        <f t="shared" ref="CL51:CV51" si="361">SUM(CL50)</f>
        <v>0</v>
      </c>
      <c r="CM51" s="1371">
        <f t="shared" si="361"/>
        <v>0</v>
      </c>
      <c r="CN51" s="1371">
        <f t="shared" si="361"/>
        <v>-0.30000000000000004</v>
      </c>
      <c r="CO51" s="1371">
        <f t="shared" si="361"/>
        <v>0</v>
      </c>
      <c r="CP51" s="1371">
        <f t="shared" si="361"/>
        <v>-0.1</v>
      </c>
      <c r="CQ51" s="1371">
        <f t="shared" si="361"/>
        <v>0</v>
      </c>
      <c r="CR51" s="1371">
        <f t="shared" si="361"/>
        <v>0</v>
      </c>
      <c r="CS51" s="1371">
        <f t="shared" si="361"/>
        <v>0</v>
      </c>
      <c r="CT51" s="1371">
        <f t="shared" si="361"/>
        <v>0</v>
      </c>
      <c r="CU51" s="1371">
        <f t="shared" si="361"/>
        <v>-0.1</v>
      </c>
      <c r="CV51" s="1371">
        <f t="shared" si="361"/>
        <v>0</v>
      </c>
      <c r="CW51" s="1008"/>
      <c r="CX51" s="1008"/>
      <c r="CY51" s="1008"/>
      <c r="CZ51" s="1008"/>
      <c r="DA51" s="1008"/>
      <c r="DB51" s="1008"/>
      <c r="DC51" s="1008"/>
      <c r="DD51" s="1008"/>
      <c r="DE51" s="1008"/>
      <c r="DF51" s="1008"/>
      <c r="DG51" s="1008"/>
      <c r="DH51" s="1008"/>
      <c r="DI51" s="1008"/>
      <c r="DJ51" s="244"/>
      <c r="DK51" s="1632" t="str">
        <f t="shared" si="73"/>
        <v>Summa poster som inte kommer att omklassificeras till nettoresultatet:</v>
      </c>
      <c r="DL51" s="1615">
        <f t="shared" si="38"/>
        <v>0</v>
      </c>
      <c r="DM51" s="1615">
        <f t="shared" si="39"/>
        <v>0</v>
      </c>
      <c r="DN51" s="1615">
        <f t="shared" si="40"/>
        <v>0</v>
      </c>
      <c r="DO51" s="1615">
        <f t="shared" si="41"/>
        <v>0</v>
      </c>
      <c r="DP51" s="1615">
        <f t="shared" si="42"/>
        <v>0</v>
      </c>
      <c r="DQ51" s="1615">
        <f t="shared" si="43"/>
        <v>0</v>
      </c>
      <c r="DR51" s="1615">
        <f t="shared" si="44"/>
        <v>0</v>
      </c>
      <c r="DS51" s="1615">
        <f t="shared" si="45"/>
        <v>0</v>
      </c>
      <c r="DT51" s="1615">
        <f t="shared" si="46"/>
        <v>0</v>
      </c>
      <c r="DU51" s="1648">
        <f t="shared" si="47"/>
        <v>0</v>
      </c>
      <c r="DV51" s="1615">
        <f t="shared" si="48"/>
        <v>0</v>
      </c>
      <c r="DW51" s="1615">
        <f t="shared" si="49"/>
        <v>0</v>
      </c>
      <c r="DY51" s="1194" t="str">
        <f t="shared" si="308"/>
        <v>Summa poster som inte kommer att omklassificeras till nettoresultatet:</v>
      </c>
      <c r="DZ51" s="1191"/>
      <c r="EA51" s="1243">
        <f t="shared" ref="EA51:EB51" si="362">SUM(EA50)</f>
        <v>0</v>
      </c>
      <c r="EB51" s="1244">
        <f t="shared" si="362"/>
        <v>-0.1</v>
      </c>
      <c r="EC51" s="1243">
        <f t="shared" ref="EC51" si="363">SUM(EC50)</f>
        <v>0</v>
      </c>
      <c r="ED51" s="1244">
        <f t="shared" ref="ED51" si="364">SUM(ED50)</f>
        <v>-0.1</v>
      </c>
      <c r="EE51" s="1243">
        <f t="shared" ref="EE51" si="365">SUM(EE50)</f>
        <v>0</v>
      </c>
      <c r="EF51" s="1244">
        <f t="shared" ref="EF51" si="366">SUM(EF50)</f>
        <v>-0.1</v>
      </c>
      <c r="EH51" s="242"/>
      <c r="EI51" s="242"/>
      <c r="EK51" s="1194" t="s">
        <v>394</v>
      </c>
      <c r="EL51" s="1191"/>
      <c r="EM51" s="1243">
        <f t="shared" si="74"/>
        <v>0</v>
      </c>
      <c r="EN51" s="1244">
        <f t="shared" si="75"/>
        <v>-0.1</v>
      </c>
      <c r="EO51" s="1243">
        <f t="shared" si="76"/>
        <v>0</v>
      </c>
      <c r="EP51" s="1244">
        <f t="shared" si="77"/>
        <v>-0.1</v>
      </c>
      <c r="EQ51" s="1243">
        <f t="shared" si="78"/>
        <v>0</v>
      </c>
      <c r="ER51" s="1244">
        <f t="shared" si="79"/>
        <v>-0.1</v>
      </c>
      <c r="ET51" s="242"/>
      <c r="EW51" s="310"/>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890"/>
      <c r="GU51" s="1172" t="s">
        <v>909</v>
      </c>
      <c r="GV51" s="242"/>
      <c r="GW51" s="1997">
        <f t="shared" ref="GW51:HH51" si="367">((GW197-GW193)*1000)/GW$23</f>
        <v>0.93217799702662696</v>
      </c>
      <c r="GX51" s="1997">
        <f t="shared" si="367"/>
        <v>2.8918482227328073</v>
      </c>
      <c r="GY51" s="1997">
        <f t="shared" si="367"/>
        <v>-0.23354710095960843</v>
      </c>
      <c r="GZ51" s="1997">
        <f t="shared" si="367"/>
        <v>-0.21489593188266215</v>
      </c>
      <c r="HA51" s="1997">
        <f t="shared" si="367"/>
        <v>3.0906000810920462</v>
      </c>
      <c r="HB51" s="1997">
        <f t="shared" si="367"/>
        <v>-4.1120421678626957E-2</v>
      </c>
      <c r="HC51" s="1997">
        <f t="shared" si="367"/>
        <v>-0.7131842140829755</v>
      </c>
      <c r="HD51" s="1997">
        <f t="shared" si="367"/>
        <v>-2.581031220435182</v>
      </c>
      <c r="HE51" s="1997">
        <f t="shared" si="367"/>
        <v>1.9251372147587484</v>
      </c>
      <c r="HF51" s="1997">
        <f t="shared" si="367"/>
        <v>6.4516891017705218</v>
      </c>
      <c r="HG51" s="1997">
        <f t="shared" si="367"/>
        <v>-3.3941073117988974</v>
      </c>
      <c r="HH51" s="1997">
        <f t="shared" si="367"/>
        <v>0.1726719827003754</v>
      </c>
      <c r="HJ51" s="2134">
        <f t="shared" si="346"/>
        <v>6.4516891017705218</v>
      </c>
      <c r="HK51" s="2135">
        <f t="shared" si="346"/>
        <v>-4.1120421678626957E-2</v>
      </c>
      <c r="HL51" s="2134">
        <f t="shared" si="346"/>
        <v>8.376826316529268</v>
      </c>
      <c r="HM51" s="2135">
        <f t="shared" si="346"/>
        <v>3.0494796594134193</v>
      </c>
      <c r="HN51" s="2134">
        <f t="shared" si="346"/>
        <v>5.0826108820111129</v>
      </c>
      <c r="HO51" s="2100">
        <f t="shared" si="346"/>
        <v>-0.24473577510473854</v>
      </c>
      <c r="HP51" s="2136"/>
      <c r="HQ51" s="310"/>
      <c r="HR51" s="2147">
        <f t="shared" si="347"/>
        <v>6.4518853004720498</v>
      </c>
      <c r="HS51" s="2148">
        <f t="shared" si="347"/>
        <v>-4.1121672168725344E-2</v>
      </c>
      <c r="HT51" s="2147">
        <f t="shared" si="347"/>
        <v>8.3770810594997229</v>
      </c>
      <c r="HU51" s="2148">
        <f t="shared" si="347"/>
        <v>3.0495723954303098</v>
      </c>
      <c r="HV51" s="2147">
        <f t="shared" si="347"/>
        <v>5.0827654464421776</v>
      </c>
      <c r="HW51" s="2148">
        <f t="shared" si="347"/>
        <v>-0.24474321762723697</v>
      </c>
      <c r="HX51" s="310"/>
      <c r="HY51" s="310"/>
      <c r="HZ51" s="892"/>
      <c r="IA51" s="1172" t="s">
        <v>915</v>
      </c>
      <c r="IB51" s="2095">
        <f t="shared" si="340"/>
        <v>6.4516891017705218</v>
      </c>
      <c r="IC51" s="2096">
        <f t="shared" si="340"/>
        <v>-4.1120421678626957E-2</v>
      </c>
      <c r="ID51" s="2095">
        <f t="shared" si="340"/>
        <v>8.376826316529268</v>
      </c>
      <c r="IE51" s="2096">
        <f t="shared" si="340"/>
        <v>3.0494796594134193</v>
      </c>
      <c r="IF51" s="2095">
        <f t="shared" si="340"/>
        <v>5.0826108820111129</v>
      </c>
      <c r="IG51" s="2097">
        <f t="shared" si="340"/>
        <v>-0.24473577510473854</v>
      </c>
      <c r="IH51" s="1218"/>
      <c r="IJ51" s="1678">
        <f>IF(IN57=BP57,0,1)</f>
        <v>1</v>
      </c>
      <c r="IK51" s="264" t="e">
        <f t="shared" si="353"/>
        <v>#REF!</v>
      </c>
      <c r="IL51" s="242"/>
      <c r="IM51" s="242"/>
      <c r="IN51" s="1194" t="str">
        <f t="shared" si="348"/>
        <v>Summa poster som inte kommer att omklassificeras till nettoresultatet:</v>
      </c>
      <c r="IO51" s="1702"/>
      <c r="IP51" s="1702"/>
      <c r="IQ51" s="1702"/>
      <c r="IR51" s="242"/>
      <c r="IS51" s="242"/>
      <c r="IT51" s="1678">
        <f t="shared" si="174"/>
        <v>0</v>
      </c>
      <c r="IU51" s="264">
        <f t="shared" si="349"/>
        <v>41</v>
      </c>
      <c r="IV51" s="242"/>
      <c r="IW51" s="242"/>
      <c r="IX51" s="1194" t="s">
        <v>393</v>
      </c>
      <c r="IY51" s="1194"/>
      <c r="IZ51" s="1243">
        <f t="shared" si="330"/>
        <v>0</v>
      </c>
      <c r="JA51" s="1702">
        <f t="shared" si="86"/>
        <v>0</v>
      </c>
      <c r="JB51" s="1243">
        <f t="shared" si="331"/>
        <v>0</v>
      </c>
      <c r="JC51" s="242"/>
      <c r="JD51" s="242"/>
      <c r="JE51" s="242"/>
      <c r="JF51" s="1194" t="str">
        <f t="shared" si="350"/>
        <v>Summa poster som inte kommer att omklassificeras till nettoresultatet:</v>
      </c>
      <c r="JG51" s="1775">
        <f>IZ51</f>
        <v>0</v>
      </c>
      <c r="JH51" s="1776"/>
      <c r="JI51" s="1775">
        <f>JB51</f>
        <v>0</v>
      </c>
      <c r="JJ51" s="242"/>
      <c r="JK51" s="242"/>
      <c r="JL51" s="242"/>
      <c r="JM51" s="1194" t="s">
        <v>394</v>
      </c>
      <c r="JN51" s="1243">
        <f>$JG51</f>
        <v>0</v>
      </c>
      <c r="JO51" s="1702"/>
      <c r="JP51" s="1243">
        <f>$JI51</f>
        <v>0</v>
      </c>
      <c r="JQ51" s="242"/>
    </row>
    <row r="52" spans="2:277" s="269" customFormat="1" ht="11.25" customHeight="1" outlineLevel="1" thickBot="1" x14ac:dyDescent="0.25">
      <c r="B52" s="264">
        <f t="shared" si="27"/>
        <v>43</v>
      </c>
      <c r="D52" s="386" t="str">
        <f>+[2]rapkvart!$B45</f>
        <v>Summa övrigt totalresultat</v>
      </c>
      <c r="E52" s="386"/>
      <c r="G52" s="1090">
        <f>[2]rapkvart!S45</f>
        <v>-1.1999999999999997</v>
      </c>
      <c r="H52" s="1090">
        <f>[2]rapkvart!T45</f>
        <v>1.3</v>
      </c>
      <c r="I52" s="1090">
        <f>[2]rapkvart!U45</f>
        <v>6.1</v>
      </c>
      <c r="J52" s="1090">
        <f>[2]rapkvart!V45</f>
        <v>2.5999999999999996</v>
      </c>
      <c r="K52" s="1090">
        <f>[2]rapkvart!O45</f>
        <v>9.6</v>
      </c>
      <c r="L52" s="1090">
        <f>[2]rapkvart!P45</f>
        <v>3.3</v>
      </c>
      <c r="M52" s="1090">
        <f>[2]rapkvart!Q45</f>
        <v>3.9999999999999996</v>
      </c>
      <c r="N52" s="1090">
        <f>[2]rapkvart!R45</f>
        <v>4.5999999999999996</v>
      </c>
      <c r="O52" s="1090">
        <f>[2]rapkvart!K45</f>
        <v>-2.9000000000000004</v>
      </c>
      <c r="P52" s="1090">
        <f>[2]rapkvart!L45</f>
        <v>-4.7</v>
      </c>
      <c r="Q52" s="1090">
        <f>[2]rapkvart!M45</f>
        <v>3.9999999999999996</v>
      </c>
      <c r="R52" s="1090">
        <f>[2]rapkvart!N45</f>
        <v>4.5999999999999996</v>
      </c>
      <c r="S52" s="1072"/>
      <c r="T52" s="1074">
        <f>SUM(T51,T49)</f>
        <v>-1.1999999999999997</v>
      </c>
      <c r="U52" s="1074">
        <f t="shared" ref="U52:X52" si="368">SUM(U51,U49)</f>
        <v>2.5</v>
      </c>
      <c r="V52" s="1074">
        <f t="shared" si="368"/>
        <v>4.8</v>
      </c>
      <c r="W52" s="1074">
        <f t="shared" si="368"/>
        <v>-3.5</v>
      </c>
      <c r="X52" s="1074">
        <f t="shared" si="368"/>
        <v>9.6</v>
      </c>
      <c r="Y52" s="1074">
        <f t="shared" ref="Y52" si="369">SUM(Y51,Y49)</f>
        <v>-6.3000000000000007</v>
      </c>
      <c r="Z52" s="1074">
        <f t="shared" ref="Z52" si="370">SUM(Z51,Z49)</f>
        <v>0.69999999999999973</v>
      </c>
      <c r="AA52" s="1074">
        <f t="shared" ref="AA52:AB52" si="371">SUM(AA51,AA49)</f>
        <v>0.6</v>
      </c>
      <c r="AB52" s="1074">
        <f t="shared" si="371"/>
        <v>-2.9000000000000004</v>
      </c>
      <c r="AC52" s="1074">
        <f t="shared" ref="AC52" si="372">SUM(AC51,AC49)</f>
        <v>-1.7999999999999994</v>
      </c>
      <c r="AD52" s="1074">
        <f t="shared" ref="AD52" si="373">SUM(AD51,AD49)</f>
        <v>8.6999999999999993</v>
      </c>
      <c r="AE52" s="1074">
        <f t="shared" ref="AE52" si="374">SUM(AE51,AE49)</f>
        <v>0.6</v>
      </c>
      <c r="AV52" s="1777" t="str">
        <f t="shared" si="306"/>
        <v>Summa övrigt totalresultat</v>
      </c>
      <c r="AW52" s="1847"/>
      <c r="AX52" s="1773">
        <f t="shared" si="314"/>
        <v>-1.7999999999999994</v>
      </c>
      <c r="AY52" s="1846">
        <f t="shared" si="315"/>
        <v>-6.3000000000000007</v>
      </c>
      <c r="AZ52" s="1773">
        <f t="shared" si="316"/>
        <v>-4.7</v>
      </c>
      <c r="BA52" s="1846">
        <f t="shared" si="317"/>
        <v>3.3</v>
      </c>
      <c r="BB52" s="1773">
        <f t="shared" si="318"/>
        <v>-3.4</v>
      </c>
      <c r="BC52" s="1846">
        <f t="shared" si="319"/>
        <v>4.5999999999999996</v>
      </c>
      <c r="BE52" s="1777" t="s">
        <v>395</v>
      </c>
      <c r="BF52" s="1847"/>
      <c r="BG52" s="1773">
        <f t="shared" si="320"/>
        <v>-1.7999999999999994</v>
      </c>
      <c r="BH52" s="1846">
        <f t="shared" si="321"/>
        <v>-6.3000000000000007</v>
      </c>
      <c r="BI52" s="1773">
        <f t="shared" si="322"/>
        <v>-4.7</v>
      </c>
      <c r="BJ52" s="1846">
        <f t="shared" si="323"/>
        <v>3.3</v>
      </c>
      <c r="BK52" s="1773">
        <f t="shared" si="324"/>
        <v>-3.4</v>
      </c>
      <c r="BL52" s="1846">
        <f t="shared" si="325"/>
        <v>4.5999999999999996</v>
      </c>
      <c r="BN52" s="242"/>
      <c r="BP52" s="302" t="str">
        <f t="shared" si="307"/>
        <v>Summa övrigt totalresultat</v>
      </c>
      <c r="BQ52" s="303"/>
      <c r="BR52" s="302"/>
      <c r="BS52" s="302"/>
      <c r="BT52" s="302"/>
      <c r="BU52" s="302"/>
      <c r="BV52" s="302"/>
      <c r="BW52" s="302"/>
      <c r="BX52" s="302"/>
      <c r="BY52" s="302"/>
      <c r="BZ52" s="302"/>
      <c r="CA52" s="302"/>
      <c r="CB52" s="302"/>
      <c r="CE52" s="1288">
        <f t="shared" si="171"/>
        <v>0</v>
      </c>
      <c r="CF52" s="281">
        <f t="shared" si="36"/>
        <v>42</v>
      </c>
      <c r="CH52" s="1608"/>
      <c r="CI52" s="302" t="s">
        <v>396</v>
      </c>
      <c r="CJ52" s="303"/>
      <c r="CK52" s="966">
        <f>CK49+CK51</f>
        <v>-1.1999999999999997</v>
      </c>
      <c r="CL52" s="966">
        <f t="shared" ref="CL52:CV52" si="375">CL49+CL51</f>
        <v>2.5</v>
      </c>
      <c r="CM52" s="966">
        <f t="shared" si="375"/>
        <v>4.8</v>
      </c>
      <c r="CN52" s="966">
        <f t="shared" si="375"/>
        <v>-3.5</v>
      </c>
      <c r="CO52" s="966">
        <f t="shared" si="375"/>
        <v>9.6</v>
      </c>
      <c r="CP52" s="966">
        <f t="shared" si="375"/>
        <v>-6.3000000000000007</v>
      </c>
      <c r="CQ52" s="966">
        <f t="shared" si="375"/>
        <v>0.69999999999999973</v>
      </c>
      <c r="CR52" s="966">
        <f t="shared" si="375"/>
        <v>0.6</v>
      </c>
      <c r="CS52" s="966">
        <f t="shared" si="375"/>
        <v>-2.9000000000000004</v>
      </c>
      <c r="CT52" s="966">
        <f t="shared" si="375"/>
        <v>-1.7999999999999994</v>
      </c>
      <c r="CU52" s="966">
        <f t="shared" si="375"/>
        <v>8.6999999999999993</v>
      </c>
      <c r="CV52" s="966">
        <f t="shared" si="375"/>
        <v>0.6</v>
      </c>
      <c r="CW52" s="1008"/>
      <c r="CX52" s="1008"/>
      <c r="CY52" s="1008"/>
      <c r="CZ52" s="1008"/>
      <c r="DA52" s="1008"/>
      <c r="DB52" s="1008"/>
      <c r="DC52" s="1008"/>
      <c r="DD52" s="1008"/>
      <c r="DE52" s="1008"/>
      <c r="DF52" s="1008"/>
      <c r="DG52" s="1008"/>
      <c r="DH52" s="1008"/>
      <c r="DI52" s="1008"/>
      <c r="DJ52" s="244"/>
      <c r="DK52" s="1646" t="str">
        <f t="shared" si="73"/>
        <v>Summa övrigt totalresultat</v>
      </c>
      <c r="DL52" s="1628">
        <f t="shared" si="38"/>
        <v>0</v>
      </c>
      <c r="DM52" s="1628">
        <f t="shared" si="39"/>
        <v>0</v>
      </c>
      <c r="DN52" s="1628">
        <f t="shared" si="40"/>
        <v>0</v>
      </c>
      <c r="DO52" s="1628">
        <f t="shared" si="41"/>
        <v>0</v>
      </c>
      <c r="DP52" s="1628">
        <f t="shared" si="42"/>
        <v>0</v>
      </c>
      <c r="DQ52" s="1628">
        <f t="shared" si="43"/>
        <v>0</v>
      </c>
      <c r="DR52" s="1628">
        <f t="shared" si="44"/>
        <v>0</v>
      </c>
      <c r="DS52" s="1628">
        <f t="shared" si="45"/>
        <v>0</v>
      </c>
      <c r="DT52" s="1628">
        <f t="shared" si="46"/>
        <v>0</v>
      </c>
      <c r="DU52" s="1659">
        <f t="shared" si="47"/>
        <v>0</v>
      </c>
      <c r="DV52" s="1628">
        <f t="shared" si="48"/>
        <v>0</v>
      </c>
      <c r="DW52" s="1628">
        <f t="shared" si="49"/>
        <v>0</v>
      </c>
      <c r="DX52" s="282"/>
      <c r="DY52" s="1777" t="str">
        <f t="shared" si="308"/>
        <v>Summa övrigt totalresultat</v>
      </c>
      <c r="DZ52" s="1847"/>
      <c r="EA52" s="1773">
        <f>SUM(CT52)</f>
        <v>-1.7999999999999994</v>
      </c>
      <c r="EB52" s="1846">
        <f>SUM(CP52)</f>
        <v>-6.3000000000000007</v>
      </c>
      <c r="EC52" s="1773">
        <f>SUM(CS52:CT52)</f>
        <v>-4.6999999999999993</v>
      </c>
      <c r="ED52" s="1846">
        <f>SUM(CO52:CP52)</f>
        <v>3.2999999999999989</v>
      </c>
      <c r="EE52" s="1773">
        <f>SUM(CQ52:CT52)</f>
        <v>-3.4</v>
      </c>
      <c r="EF52" s="1846">
        <f>SUM(CO52:CR52)</f>
        <v>4.5999999999999988</v>
      </c>
      <c r="EH52" s="242"/>
      <c r="EI52" s="242"/>
      <c r="EK52" s="1777" t="s">
        <v>395</v>
      </c>
      <c r="EL52" s="1847"/>
      <c r="EM52" s="1773">
        <f t="shared" si="74"/>
        <v>-1.7999999999999994</v>
      </c>
      <c r="EN52" s="1846">
        <f t="shared" si="75"/>
        <v>-6.3000000000000007</v>
      </c>
      <c r="EO52" s="1773">
        <f t="shared" si="76"/>
        <v>-4.6999999999999993</v>
      </c>
      <c r="EP52" s="1846">
        <f t="shared" si="77"/>
        <v>3.2999999999999989</v>
      </c>
      <c r="EQ52" s="1773">
        <f t="shared" si="78"/>
        <v>-3.4</v>
      </c>
      <c r="ER52" s="1846">
        <f t="shared" si="79"/>
        <v>4.5999999999999988</v>
      </c>
      <c r="ET52" s="242"/>
      <c r="EW52" s="310"/>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52"/>
      <c r="GV52" s="242"/>
      <c r="GW52" s="352"/>
      <c r="GX52" s="352"/>
      <c r="GY52" s="352"/>
      <c r="GZ52" s="352"/>
      <c r="HA52" s="352"/>
      <c r="HB52" s="352"/>
      <c r="HC52" s="352"/>
      <c r="HD52" s="352"/>
      <c r="HE52" s="352"/>
      <c r="HF52" s="352"/>
      <c r="HG52" s="352"/>
      <c r="HH52" s="352"/>
      <c r="HJ52" s="1986"/>
      <c r="HK52" s="1986"/>
      <c r="HL52" s="1986"/>
      <c r="HM52" s="1986"/>
      <c r="HN52" s="1986"/>
      <c r="HO52" s="1986"/>
      <c r="HP52" s="2004"/>
      <c r="HQ52" s="2150" t="s">
        <v>181</v>
      </c>
      <c r="HR52" s="2133">
        <f>HR49-HJ49</f>
        <v>1.9886202965846422E-4</v>
      </c>
      <c r="HS52" s="2133">
        <f t="shared" ref="HS52:HW54" si="376">HS49-HK49</f>
        <v>2.9710699420704145E-5</v>
      </c>
      <c r="HT52" s="2133">
        <f t="shared" si="376"/>
        <v>2.6905835915513876E-4</v>
      </c>
      <c r="HU52" s="2133">
        <f t="shared" si="376"/>
        <v>1.3501635096435649E-4</v>
      </c>
      <c r="HV52" s="2133">
        <f t="shared" si="376"/>
        <v>2.597658922240953E-4</v>
      </c>
      <c r="HW52" s="2133">
        <f t="shared" si="376"/>
        <v>1.2572388403508938E-4</v>
      </c>
      <c r="HX52" s="310"/>
      <c r="HY52" s="310"/>
      <c r="HZ52" s="892"/>
      <c r="IA52" s="352"/>
      <c r="IB52" s="1986"/>
      <c r="IC52" s="1986"/>
      <c r="ID52" s="1986"/>
      <c r="IE52" s="1986"/>
      <c r="IF52" s="1986"/>
      <c r="IG52" s="1986"/>
      <c r="IJ52" s="242"/>
      <c r="IK52" s="242"/>
      <c r="IL52" s="242"/>
      <c r="IM52" s="242"/>
      <c r="IN52" s="1196" t="str">
        <f t="shared" si="348"/>
        <v>Summa övrigt totalresultat</v>
      </c>
      <c r="IO52" s="1703"/>
      <c r="IP52" s="1703"/>
      <c r="IQ52" s="1703"/>
      <c r="IR52" s="242"/>
      <c r="IS52" s="242"/>
      <c r="IT52" s="1678">
        <f t="shared" si="174"/>
        <v>0</v>
      </c>
      <c r="IU52" s="264">
        <f t="shared" si="349"/>
        <v>42</v>
      </c>
      <c r="IV52" s="242"/>
      <c r="IW52" s="242"/>
      <c r="IX52" s="1196" t="s">
        <v>396</v>
      </c>
      <c r="IY52" s="1196"/>
      <c r="IZ52" s="1247">
        <f t="shared" si="330"/>
        <v>-1.7999999999999994</v>
      </c>
      <c r="JA52" s="1703">
        <f t="shared" si="86"/>
        <v>0</v>
      </c>
      <c r="JB52" s="1247">
        <f t="shared" si="331"/>
        <v>-1.7999999999999994</v>
      </c>
      <c r="JC52" s="242"/>
      <c r="JD52" s="242"/>
      <c r="JE52" s="242"/>
      <c r="JF52" s="1777" t="str">
        <f t="shared" si="350"/>
        <v>Summa övrigt totalresultat</v>
      </c>
      <c r="JG52" s="1773">
        <f>IZ52</f>
        <v>-1.7999999999999994</v>
      </c>
      <c r="JH52" s="1774">
        <f>JA52</f>
        <v>0</v>
      </c>
      <c r="JI52" s="1773">
        <f>JB52</f>
        <v>-1.7999999999999994</v>
      </c>
      <c r="JJ52" s="242"/>
      <c r="JK52" s="242"/>
      <c r="JL52" s="242"/>
      <c r="JM52" s="1788" t="s">
        <v>395</v>
      </c>
      <c r="JN52" s="1785">
        <f>$JG52</f>
        <v>-1.7999999999999994</v>
      </c>
      <c r="JO52" s="1786">
        <f>JH52</f>
        <v>0</v>
      </c>
      <c r="JP52" s="1785">
        <f>$JI52</f>
        <v>-1.7999999999999994</v>
      </c>
      <c r="JQ52" s="242"/>
    </row>
    <row r="53" spans="2:277" s="269" customFormat="1" ht="11.25" customHeight="1" outlineLevel="1" thickBot="1" x14ac:dyDescent="0.25">
      <c r="B53" s="264">
        <f t="shared" si="27"/>
        <v>44</v>
      </c>
      <c r="D53" s="300" t="str">
        <f>+[2]rapkvart!$B46</f>
        <v>Periodens totalresultat</v>
      </c>
      <c r="E53" s="300"/>
      <c r="G53" s="1086">
        <f>[2]rapkvart!S46</f>
        <v>26.300000000000043</v>
      </c>
      <c r="H53" s="1086">
        <f>[2]rapkvart!T46</f>
        <v>70.400000000000105</v>
      </c>
      <c r="I53" s="1086">
        <f>[2]rapkvart!U46</f>
        <v>93.999999999999901</v>
      </c>
      <c r="J53" s="1086">
        <f>[2]rapkvart!V46</f>
        <v>102.70000000000014</v>
      </c>
      <c r="K53" s="1086">
        <f>[2]rapkvart!O46</f>
        <v>53.000000000000064</v>
      </c>
      <c r="L53" s="1086">
        <f>[2]rapkvart!P46</f>
        <v>64.799999999999926</v>
      </c>
      <c r="M53" s="1086">
        <f>[2]rapkvart!Q46</f>
        <v>83.200000000000017</v>
      </c>
      <c r="N53" s="1086">
        <f>[2]rapkvart!R46</f>
        <v>82.700000000000117</v>
      </c>
      <c r="O53" s="1086">
        <f>[2]rapkvart!K46</f>
        <v>31.099999999999987</v>
      </c>
      <c r="P53" s="1086">
        <f>[2]rapkvart!L46</f>
        <v>99.30000000000004</v>
      </c>
      <c r="Q53" s="1086">
        <f>[2]rapkvart!M46</f>
        <v>83.200000000000017</v>
      </c>
      <c r="R53" s="1086">
        <f>[2]rapkvart!N46</f>
        <v>82.700000000000117</v>
      </c>
      <c r="S53" s="1072"/>
      <c r="T53" s="1588">
        <f>SUM(T52,T45)</f>
        <v>26.300000000000043</v>
      </c>
      <c r="U53" s="1588">
        <f t="shared" ref="U53:AE53" si="377">SUM(U52,U45)</f>
        <v>44.100000000000065</v>
      </c>
      <c r="V53" s="1588">
        <f t="shared" si="377"/>
        <v>23.599999999999799</v>
      </c>
      <c r="W53" s="1588">
        <f t="shared" si="377"/>
        <v>8.7000000000002444</v>
      </c>
      <c r="X53" s="1588">
        <f t="shared" si="377"/>
        <v>53.000000000000064</v>
      </c>
      <c r="Y53" s="1588">
        <f t="shared" si="377"/>
        <v>11.799999999999851</v>
      </c>
      <c r="Z53" s="1588">
        <f t="shared" si="377"/>
        <v>18.400000000000102</v>
      </c>
      <c r="AA53" s="1588">
        <f t="shared" si="377"/>
        <v>-0.49999999999990907</v>
      </c>
      <c r="AB53" s="1588">
        <f t="shared" si="377"/>
        <v>31.099999999999987</v>
      </c>
      <c r="AC53" s="1588">
        <f t="shared" si="377"/>
        <v>68.20000000000006</v>
      </c>
      <c r="AD53" s="1588">
        <f t="shared" si="377"/>
        <v>-16.100000000000026</v>
      </c>
      <c r="AE53" s="1588">
        <f t="shared" si="377"/>
        <v>-0.49999999999990907</v>
      </c>
      <c r="AV53" s="1180" t="str">
        <f t="shared" si="306"/>
        <v>Periodens totalresultat</v>
      </c>
      <c r="AW53" s="1974"/>
      <c r="AX53" s="1770">
        <f t="shared" si="314"/>
        <v>68.20000000000006</v>
      </c>
      <c r="AY53" s="1975">
        <f t="shared" si="315"/>
        <v>11.799999999999851</v>
      </c>
      <c r="AZ53" s="1770">
        <f t="shared" si="316"/>
        <v>99.30000000000004</v>
      </c>
      <c r="BA53" s="1975">
        <f t="shared" si="317"/>
        <v>64.799999999999926</v>
      </c>
      <c r="BB53" s="1770">
        <f t="shared" si="318"/>
        <v>117.20000000000024</v>
      </c>
      <c r="BC53" s="1975">
        <f t="shared" si="319"/>
        <v>82.700000000000117</v>
      </c>
      <c r="BE53" s="1677" t="s">
        <v>397</v>
      </c>
      <c r="BF53" s="1195"/>
      <c r="BG53" s="1245">
        <f t="shared" si="320"/>
        <v>68.20000000000006</v>
      </c>
      <c r="BH53" s="1246">
        <f t="shared" si="321"/>
        <v>11.799999999999851</v>
      </c>
      <c r="BI53" s="1245">
        <f t="shared" si="322"/>
        <v>99.30000000000004</v>
      </c>
      <c r="BJ53" s="1246">
        <f t="shared" si="323"/>
        <v>64.799999999999926</v>
      </c>
      <c r="BK53" s="1245">
        <f t="shared" si="324"/>
        <v>117.20000000000024</v>
      </c>
      <c r="BL53" s="1246">
        <f t="shared" si="325"/>
        <v>82.700000000000117</v>
      </c>
      <c r="BN53" s="242"/>
      <c r="BP53" s="328" t="str">
        <f t="shared" si="307"/>
        <v>Periodens totalresultat</v>
      </c>
      <c r="BQ53" s="329"/>
      <c r="BR53" s="328"/>
      <c r="BS53" s="328"/>
      <c r="BT53" s="328"/>
      <c r="BU53" s="328"/>
      <c r="BV53" s="328"/>
      <c r="BW53" s="328"/>
      <c r="BX53" s="328"/>
      <c r="BY53" s="328"/>
      <c r="BZ53" s="328"/>
      <c r="CA53" s="328"/>
      <c r="CB53" s="328"/>
      <c r="CE53" s="1288">
        <f t="shared" si="171"/>
        <v>0</v>
      </c>
      <c r="CF53" s="281">
        <f t="shared" si="36"/>
        <v>43</v>
      </c>
      <c r="CH53" s="1608"/>
      <c r="CI53" s="328" t="s">
        <v>398</v>
      </c>
      <c r="CJ53" s="329"/>
      <c r="CK53" s="974">
        <f t="shared" ref="CK53" si="378">CK45+CK52</f>
        <v>7.7741850000000134</v>
      </c>
      <c r="CL53" s="974">
        <f t="shared" ref="CL53:CV53" si="379">CL45+CL52</f>
        <v>26.083785000000042</v>
      </c>
      <c r="CM53" s="974">
        <f t="shared" si="379"/>
        <v>5.1989849999998565</v>
      </c>
      <c r="CN53" s="974">
        <f t="shared" si="379"/>
        <v>-5.0860149999998177</v>
      </c>
      <c r="CO53" s="974">
        <f t="shared" si="379"/>
        <v>34.060350000000049</v>
      </c>
      <c r="CP53" s="974">
        <f t="shared" si="379"/>
        <v>-5.1982500000001615</v>
      </c>
      <c r="CQ53" s="974">
        <f t="shared" si="379"/>
        <v>-3.7338499999999359</v>
      </c>
      <c r="CR53" s="974">
        <f t="shared" si="379"/>
        <v>-17.754049999999911</v>
      </c>
      <c r="CS53" s="974">
        <f t="shared" si="379"/>
        <v>12.447090251999979</v>
      </c>
      <c r="CT53" s="974">
        <f t="shared" si="379"/>
        <v>47.473047664000092</v>
      </c>
      <c r="CU53" s="974">
        <f t="shared" si="379"/>
        <v>-16.413000000000039</v>
      </c>
      <c r="CV53" s="974">
        <f t="shared" si="379"/>
        <v>1.8776000000000779</v>
      </c>
      <c r="CW53" s="1008"/>
      <c r="CX53" s="1008"/>
      <c r="CY53" s="1008"/>
      <c r="CZ53" s="1008"/>
      <c r="DA53" s="1008"/>
      <c r="DB53" s="1008"/>
      <c r="DC53" s="1008"/>
      <c r="DD53" s="1008"/>
      <c r="DE53" s="1008"/>
      <c r="DF53" s="1008"/>
      <c r="DG53" s="1008"/>
      <c r="DH53" s="1008"/>
      <c r="DI53" s="1008"/>
      <c r="DJ53" s="244"/>
      <c r="DK53" s="1634" t="str">
        <f t="shared" si="73"/>
        <v>Periodens totalresultat</v>
      </c>
      <c r="DL53" s="1617">
        <f t="shared" si="38"/>
        <v>-18.52581500000003</v>
      </c>
      <c r="DM53" s="1617">
        <f t="shared" si="39"/>
        <v>-18.016215000000024</v>
      </c>
      <c r="DN53" s="1617">
        <f t="shared" si="40"/>
        <v>-18.401014999999944</v>
      </c>
      <c r="DO53" s="1617">
        <f t="shared" si="41"/>
        <v>-13.786015000000063</v>
      </c>
      <c r="DP53" s="1617">
        <f t="shared" si="42"/>
        <v>-18.939650000000015</v>
      </c>
      <c r="DQ53" s="1617">
        <f t="shared" si="43"/>
        <v>-16.998250000000013</v>
      </c>
      <c r="DR53" s="1617">
        <f t="shared" si="44"/>
        <v>-22.133850000000038</v>
      </c>
      <c r="DS53" s="1617">
        <f t="shared" si="45"/>
        <v>-17.254050000000003</v>
      </c>
      <c r="DT53" s="1617">
        <f t="shared" si="46"/>
        <v>-18.652909748000006</v>
      </c>
      <c r="DU53" s="1650">
        <f t="shared" si="47"/>
        <v>-20.726952335999968</v>
      </c>
      <c r="DV53" s="1617">
        <f t="shared" si="48"/>
        <v>-0.31300000000001305</v>
      </c>
      <c r="DW53" s="1617">
        <f t="shared" si="49"/>
        <v>2.3775999999999868</v>
      </c>
      <c r="DX53" s="282"/>
      <c r="DY53" s="1180" t="str">
        <f t="shared" si="308"/>
        <v>Periodens totalresultat</v>
      </c>
      <c r="DZ53" s="1974"/>
      <c r="EA53" s="1770">
        <f t="shared" ref="EA53:EF53" si="380">EA45+EA52</f>
        <v>47.473047664000092</v>
      </c>
      <c r="EB53" s="1975">
        <f t="shared" si="380"/>
        <v>-5.1982500000001615</v>
      </c>
      <c r="EC53" s="1770">
        <f t="shared" si="380"/>
        <v>59.920137916000058</v>
      </c>
      <c r="ED53" s="1975">
        <f t="shared" si="380"/>
        <v>28.862099999999884</v>
      </c>
      <c r="EE53" s="1770">
        <f t="shared" si="380"/>
        <v>38.432237916000226</v>
      </c>
      <c r="EF53" s="1975">
        <f t="shared" si="380"/>
        <v>7.3742000000000383</v>
      </c>
      <c r="EH53" s="242"/>
      <c r="EI53" s="242"/>
      <c r="EK53" s="1677" t="s">
        <v>397</v>
      </c>
      <c r="EL53" s="1195"/>
      <c r="EM53" s="1245">
        <f t="shared" si="74"/>
        <v>47.473047664000092</v>
      </c>
      <c r="EN53" s="1246">
        <f t="shared" si="75"/>
        <v>-5.1982500000001615</v>
      </c>
      <c r="EO53" s="1245">
        <f t="shared" si="76"/>
        <v>59.920137916000058</v>
      </c>
      <c r="EP53" s="1246">
        <f t="shared" si="77"/>
        <v>28.862099999999884</v>
      </c>
      <c r="EQ53" s="1245">
        <f t="shared" si="78"/>
        <v>38.432237916000226</v>
      </c>
      <c r="ER53" s="1246">
        <f t="shared" si="79"/>
        <v>7.3742000000000383</v>
      </c>
      <c r="ET53" s="242"/>
      <c r="EW53" s="310"/>
      <c r="EX53" s="310"/>
      <c r="EY53" s="310"/>
      <c r="EZ53" s="310"/>
      <c r="FA53" s="310"/>
      <c r="FB53" s="310"/>
      <c r="FC53" s="310"/>
      <c r="FD53" s="310"/>
      <c r="FE53" s="310"/>
      <c r="FF53" s="310"/>
      <c r="FG53" s="310"/>
      <c r="FH53" s="310"/>
      <c r="FI53" s="310"/>
      <c r="FJ53" s="310"/>
      <c r="FK53" s="310"/>
      <c r="FL53" s="310"/>
      <c r="FM53" s="310"/>
      <c r="FN53" s="310"/>
      <c r="FO53" s="310"/>
      <c r="FP53" s="310"/>
      <c r="FQ53" s="310"/>
      <c r="FR53" s="310"/>
      <c r="FS53" s="310"/>
      <c r="FT53" s="310"/>
      <c r="FU53" s="310"/>
      <c r="FV53" s="310"/>
      <c r="FW53" s="310"/>
      <c r="FX53" s="310"/>
      <c r="FY53" s="310"/>
      <c r="FZ53" s="310"/>
      <c r="GA53" s="310"/>
      <c r="GB53" s="310"/>
      <c r="GC53" s="310"/>
      <c r="GD53" s="310"/>
      <c r="GE53" s="310"/>
      <c r="GF53" s="310"/>
      <c r="GG53" s="310"/>
      <c r="GH53" s="310"/>
      <c r="GI53" s="310"/>
      <c r="GJ53" s="310"/>
      <c r="GK53" s="310"/>
      <c r="GL53" s="310"/>
      <c r="GM53" s="310"/>
      <c r="GN53" s="310"/>
      <c r="GO53" s="310"/>
      <c r="GP53" s="310"/>
      <c r="GQ53" s="310"/>
      <c r="GR53" s="310"/>
      <c r="GS53" s="310"/>
      <c r="GT53" s="890"/>
      <c r="GU53" s="2014"/>
      <c r="GV53" s="242"/>
      <c r="GW53" s="2026"/>
      <c r="GX53" s="2026"/>
      <c r="GY53" s="2026"/>
      <c r="GZ53" s="2026"/>
      <c r="HA53" s="2026"/>
      <c r="HB53" s="2026"/>
      <c r="HC53" s="2026"/>
      <c r="HD53" s="2026"/>
      <c r="HE53" s="2026"/>
      <c r="HF53" s="2026"/>
      <c r="HG53" s="2026"/>
      <c r="HH53" s="2026"/>
      <c r="HJ53" s="2015" t="str">
        <f t="shared" ref="HJ53:HO53" si="381">HJ$10</f>
        <v>Kvartal 2</v>
      </c>
      <c r="HK53" s="2015" t="str">
        <f t="shared" si="381"/>
        <v>Kvartal 2</v>
      </c>
      <c r="HL53" s="2015" t="str">
        <f t="shared" si="381"/>
        <v>Kvartal 1-2</v>
      </c>
      <c r="HM53" s="2015" t="str">
        <f t="shared" si="381"/>
        <v>Kvartal 1-2</v>
      </c>
      <c r="HN53" s="2015" t="str">
        <f t="shared" si="381"/>
        <v>Kvartal 2, R12</v>
      </c>
      <c r="HO53" s="2016" t="str">
        <f t="shared" si="381"/>
        <v>Helår</v>
      </c>
      <c r="HP53" s="2003"/>
      <c r="HQ53" s="2150" t="s">
        <v>181</v>
      </c>
      <c r="HR53" s="2133">
        <f t="shared" ref="HR53:HR54" si="382">HR50-HJ50</f>
        <v>-2.663328130661502E-6</v>
      </c>
      <c r="HS53" s="2133">
        <f t="shared" si="376"/>
        <v>-3.0961189519063126E-5</v>
      </c>
      <c r="HT53" s="2133">
        <f t="shared" si="376"/>
        <v>-1.4315388702335063E-5</v>
      </c>
      <c r="HU53" s="2133">
        <f t="shared" si="376"/>
        <v>-4.2280334074273895E-5</v>
      </c>
      <c r="HV53" s="2133">
        <f t="shared" si="376"/>
        <v>-1.0520146116066442E-4</v>
      </c>
      <c r="HW53" s="2133">
        <f t="shared" si="376"/>
        <v>-1.3316640653293632E-4</v>
      </c>
      <c r="HX53" s="310"/>
      <c r="HY53" s="310"/>
      <c r="HZ53" s="892"/>
      <c r="IA53" s="2014"/>
      <c r="IB53" s="2015" t="str">
        <f>IB$10</f>
        <v>Q2</v>
      </c>
      <c r="IC53" s="2015" t="str">
        <f t="shared" ref="IC53:IG53" si="383">IC$10</f>
        <v>Q2</v>
      </c>
      <c r="ID53" s="2015" t="str">
        <f t="shared" si="383"/>
        <v>Q1-Q2</v>
      </c>
      <c r="IE53" s="2015" t="str">
        <f t="shared" si="383"/>
        <v>Q1-Q2</v>
      </c>
      <c r="IF53" s="2015" t="str">
        <f t="shared" si="383"/>
        <v>Q2, R12</v>
      </c>
      <c r="IG53" s="2016" t="str">
        <f t="shared" si="383"/>
        <v>Full Year</v>
      </c>
      <c r="IH53" s="1148"/>
      <c r="IJ53" s="242"/>
      <c r="IK53" s="242"/>
      <c r="IL53" s="242"/>
      <c r="IM53" s="242"/>
      <c r="IN53" s="1677" t="str">
        <f t="shared" si="348"/>
        <v>Periodens totalresultat</v>
      </c>
      <c r="IO53" s="1704"/>
      <c r="IP53" s="1704"/>
      <c r="IQ53" s="1704"/>
      <c r="IR53" s="242"/>
      <c r="IS53" s="242"/>
      <c r="IT53" s="1678">
        <f t="shared" si="174"/>
        <v>0</v>
      </c>
      <c r="IU53" s="264">
        <f t="shared" si="349"/>
        <v>43</v>
      </c>
      <c r="IV53" s="242"/>
      <c r="IW53" s="242"/>
      <c r="IX53" s="1677" t="s">
        <v>398</v>
      </c>
      <c r="IY53" s="1677"/>
      <c r="IZ53" s="1245">
        <f t="shared" si="330"/>
        <v>68.20000000000006</v>
      </c>
      <c r="JA53" s="1704">
        <f t="shared" si="86"/>
        <v>-20.726952335999968</v>
      </c>
      <c r="JB53" s="1245">
        <f t="shared" si="331"/>
        <v>47.473047664000092</v>
      </c>
      <c r="JC53" s="242"/>
      <c r="JD53" s="242"/>
      <c r="JE53" s="242"/>
      <c r="JF53" s="1180" t="str">
        <f t="shared" si="350"/>
        <v>Periodens totalresultat</v>
      </c>
      <c r="JG53" s="1770">
        <f>IZ53</f>
        <v>68.20000000000006</v>
      </c>
      <c r="JH53" s="1771">
        <f>JA53</f>
        <v>-20.726952335999968</v>
      </c>
      <c r="JI53" s="1770">
        <f>JB53</f>
        <v>47.473047664000092</v>
      </c>
      <c r="JJ53" s="242"/>
      <c r="JK53" s="242"/>
      <c r="JL53" s="242"/>
      <c r="JM53" s="1677" t="s">
        <v>397</v>
      </c>
      <c r="JN53" s="1245">
        <f>$JG53</f>
        <v>68.20000000000006</v>
      </c>
      <c r="JO53" s="1704">
        <f>$JH53</f>
        <v>-20.726952335999968</v>
      </c>
      <c r="JP53" s="1245">
        <f>$JI53</f>
        <v>47.473047664000092</v>
      </c>
      <c r="JQ53" s="242"/>
    </row>
    <row r="54" spans="2:277" s="269" customFormat="1" ht="11.25" customHeight="1" outlineLevel="1" x14ac:dyDescent="0.35">
      <c r="B54" s="264">
        <f t="shared" si="27"/>
        <v>45</v>
      </c>
      <c r="D54" s="300" t="str">
        <f>+[2]rapkvart!$B47</f>
        <v>Varav periodens totalresultat hänförligt till:</v>
      </c>
      <c r="E54" s="300"/>
      <c r="G54" s="1081"/>
      <c r="H54" s="1081"/>
      <c r="I54" s="1081"/>
      <c r="J54" s="1081"/>
      <c r="K54" s="1081"/>
      <c r="L54" s="1081"/>
      <c r="M54" s="1081"/>
      <c r="N54" s="1081"/>
      <c r="O54" s="1081"/>
      <c r="P54" s="1081"/>
      <c r="Q54" s="1081"/>
      <c r="R54" s="1081"/>
      <c r="S54" s="1072"/>
      <c r="T54" s="1088"/>
      <c r="U54" s="1088"/>
      <c r="V54" s="1088"/>
      <c r="W54" s="1088"/>
      <c r="X54" s="1088"/>
      <c r="Y54" s="1088"/>
      <c r="Z54" s="1088"/>
      <c r="AA54" s="1088"/>
      <c r="AB54" s="1088"/>
      <c r="AC54" s="1088"/>
      <c r="AD54" s="1088"/>
      <c r="AE54" s="1088"/>
      <c r="AV54" s="1663" t="str">
        <f t="shared" si="306"/>
        <v>Varav periodens totalresultat hänförligt till:</v>
      </c>
      <c r="AW54" s="1664"/>
      <c r="AX54" s="1765"/>
      <c r="AY54" s="1875"/>
      <c r="AZ54" s="1765"/>
      <c r="BA54" s="1875"/>
      <c r="BB54" s="1765"/>
      <c r="BC54" s="1875"/>
      <c r="BE54" s="1183" t="s">
        <v>401</v>
      </c>
      <c r="BF54" s="1182"/>
      <c r="BG54" s="1232"/>
      <c r="BH54" s="1233"/>
      <c r="BI54" s="1232"/>
      <c r="BJ54" s="1233"/>
      <c r="BK54" s="1232"/>
      <c r="BL54" s="1233"/>
      <c r="BN54" s="242"/>
      <c r="BP54" s="354" t="str">
        <f t="shared" si="307"/>
        <v>Varav periodens totalresultat hänförligt till:</v>
      </c>
      <c r="BQ54" s="353"/>
      <c r="BR54" s="354"/>
      <c r="BS54" s="354"/>
      <c r="BT54" s="354"/>
      <c r="BU54" s="354"/>
      <c r="BV54" s="354"/>
      <c r="BW54" s="354"/>
      <c r="BX54" s="354"/>
      <c r="BY54" s="354"/>
      <c r="BZ54" s="354"/>
      <c r="CA54" s="354"/>
      <c r="CB54" s="354"/>
      <c r="CE54" s="1288">
        <f t="shared" si="171"/>
        <v>0</v>
      </c>
      <c r="CF54" s="281">
        <f t="shared" si="36"/>
        <v>44</v>
      </c>
      <c r="CI54" s="1025" t="s">
        <v>402</v>
      </c>
      <c r="CJ54" s="1027"/>
      <c r="CK54" s="1280"/>
      <c r="CL54" s="1280"/>
      <c r="CM54" s="1280"/>
      <c r="CN54" s="1280"/>
      <c r="CO54" s="1280"/>
      <c r="CP54" s="1280"/>
      <c r="CQ54" s="1280"/>
      <c r="CR54" s="1280"/>
      <c r="CS54" s="1280"/>
      <c r="CT54" s="1280"/>
      <c r="CU54" s="1280"/>
      <c r="CV54" s="1280"/>
      <c r="CW54" s="1008"/>
      <c r="CX54" s="1008"/>
      <c r="CY54" s="1008"/>
      <c r="CZ54" s="1008"/>
      <c r="DA54" s="1008"/>
      <c r="DB54" s="1008"/>
      <c r="DC54" s="1008"/>
      <c r="DD54" s="1008"/>
      <c r="DE54" s="1008"/>
      <c r="DF54" s="1008"/>
      <c r="DG54" s="1008"/>
      <c r="DH54" s="1008"/>
      <c r="DI54" s="1008"/>
      <c r="DJ54" s="244"/>
      <c r="DK54" s="1638" t="str">
        <f t="shared" si="73"/>
        <v>Varav periodens totalresultat hänförligt till:</v>
      </c>
      <c r="DL54" s="1621">
        <f t="shared" si="38"/>
        <v>0</v>
      </c>
      <c r="DM54" s="1621">
        <f t="shared" si="39"/>
        <v>0</v>
      </c>
      <c r="DN54" s="1621">
        <f t="shared" si="40"/>
        <v>0</v>
      </c>
      <c r="DO54" s="1621">
        <f t="shared" si="41"/>
        <v>0</v>
      </c>
      <c r="DP54" s="1621">
        <f t="shared" si="42"/>
        <v>0</v>
      </c>
      <c r="DQ54" s="1621">
        <f t="shared" si="43"/>
        <v>0</v>
      </c>
      <c r="DR54" s="1621">
        <f t="shared" si="44"/>
        <v>0</v>
      </c>
      <c r="DS54" s="1621">
        <f t="shared" si="45"/>
        <v>0</v>
      </c>
      <c r="DT54" s="1621">
        <f t="shared" si="46"/>
        <v>0</v>
      </c>
      <c r="DU54" s="1621">
        <f t="shared" si="47"/>
        <v>0</v>
      </c>
      <c r="DV54" s="1621">
        <f t="shared" si="48"/>
        <v>0</v>
      </c>
      <c r="DW54" s="1621">
        <f t="shared" si="49"/>
        <v>0</v>
      </c>
      <c r="DX54" s="282"/>
      <c r="DY54" s="1663" t="str">
        <f t="shared" si="308"/>
        <v>Varav periodens totalresultat hänförligt till:</v>
      </c>
      <c r="DZ54" s="1664"/>
      <c r="EA54" s="1765"/>
      <c r="EB54" s="1875"/>
      <c r="EC54" s="1765"/>
      <c r="ED54" s="1875"/>
      <c r="EE54" s="1765"/>
      <c r="EF54" s="1875"/>
      <c r="EH54" s="242"/>
      <c r="EI54" s="242"/>
      <c r="EK54" s="1966" t="s">
        <v>401</v>
      </c>
      <c r="EL54" s="1971"/>
      <c r="EM54" s="1968"/>
      <c r="EN54" s="1972"/>
      <c r="EO54" s="1968"/>
      <c r="EP54" s="1972"/>
      <c r="EQ54" s="1968"/>
      <c r="ER54" s="1972"/>
      <c r="ET54" s="242"/>
      <c r="EW54" s="310"/>
      <c r="EX54" s="310"/>
      <c r="EY54" s="310"/>
      <c r="EZ54" s="310"/>
      <c r="FA54" s="310"/>
      <c r="FB54" s="310"/>
      <c r="FC54" s="310"/>
      <c r="FD54" s="310"/>
      <c r="FE54" s="310"/>
      <c r="FF54" s="310"/>
      <c r="FG54" s="310"/>
      <c r="FH54" s="310"/>
      <c r="FI54" s="310"/>
      <c r="FJ54" s="310"/>
      <c r="FK54" s="310"/>
      <c r="FL54" s="310"/>
      <c r="FM54" s="310"/>
      <c r="FN54" s="310"/>
      <c r="FO54" s="310"/>
      <c r="FP54" s="310"/>
      <c r="FQ54" s="310"/>
      <c r="FR54" s="310"/>
      <c r="FS54" s="310"/>
      <c r="FT54" s="310"/>
      <c r="FU54" s="310"/>
      <c r="FV54" s="310"/>
      <c r="FW54" s="310"/>
      <c r="FX54" s="310"/>
      <c r="FY54" s="310"/>
      <c r="FZ54" s="310"/>
      <c r="GA54" s="310"/>
      <c r="GB54" s="310"/>
      <c r="GC54" s="310"/>
      <c r="GD54" s="310"/>
      <c r="GE54" s="310"/>
      <c r="GF54" s="310"/>
      <c r="GG54" s="310"/>
      <c r="GH54" s="310"/>
      <c r="GI54" s="310"/>
      <c r="GJ54" s="310"/>
      <c r="GK54" s="310"/>
      <c r="GL54" s="310"/>
      <c r="GM54" s="310"/>
      <c r="GN54" s="310"/>
      <c r="GO54" s="310"/>
      <c r="GP54" s="310"/>
      <c r="GQ54" s="310"/>
      <c r="GR54" s="310"/>
      <c r="GS54" s="310"/>
      <c r="GT54" s="890"/>
      <c r="GU54" s="2441" t="s">
        <v>399</v>
      </c>
      <c r="GV54" s="242"/>
      <c r="GW54" s="1988">
        <f>GW$11</f>
        <v>2403</v>
      </c>
      <c r="GX54" s="1988">
        <f t="shared" ref="GX54:HH54" si="384">GX$11</f>
        <v>2406</v>
      </c>
      <c r="GY54" s="1988">
        <f t="shared" si="384"/>
        <v>2409</v>
      </c>
      <c r="GZ54" s="1988">
        <f t="shared" si="384"/>
        <v>2412</v>
      </c>
      <c r="HA54" s="1988">
        <f t="shared" si="384"/>
        <v>2503</v>
      </c>
      <c r="HB54" s="1988">
        <f t="shared" si="384"/>
        <v>2506</v>
      </c>
      <c r="HC54" s="1988">
        <f t="shared" si="384"/>
        <v>2509</v>
      </c>
      <c r="HD54" s="1988">
        <f t="shared" si="384"/>
        <v>2512</v>
      </c>
      <c r="HE54" s="1988">
        <f t="shared" si="384"/>
        <v>2603</v>
      </c>
      <c r="HF54" s="1988">
        <f t="shared" si="384"/>
        <v>2606</v>
      </c>
      <c r="HG54" s="1988">
        <f t="shared" si="384"/>
        <v>2609</v>
      </c>
      <c r="HH54" s="1988">
        <f t="shared" si="384"/>
        <v>2612</v>
      </c>
      <c r="HI54" s="310"/>
      <c r="HJ54" s="2024">
        <f t="shared" ref="HJ54:HO54" si="385">HJ$11</f>
        <v>2026</v>
      </c>
      <c r="HK54" s="2024">
        <f t="shared" si="385"/>
        <v>2025</v>
      </c>
      <c r="HL54" s="2024">
        <f t="shared" si="385"/>
        <v>2026</v>
      </c>
      <c r="HM54" s="2024">
        <f t="shared" si="385"/>
        <v>2025</v>
      </c>
      <c r="HN54" s="2024">
        <f t="shared" si="385"/>
        <v>2026</v>
      </c>
      <c r="HO54" s="2025">
        <f t="shared" si="385"/>
        <v>2025</v>
      </c>
      <c r="HP54" s="2003"/>
      <c r="HQ54" s="2150" t="s">
        <v>181</v>
      </c>
      <c r="HR54" s="2133">
        <f t="shared" si="382"/>
        <v>1.9619870152798313E-4</v>
      </c>
      <c r="HS54" s="2133">
        <f t="shared" si="376"/>
        <v>-1.2504900983867362E-6</v>
      </c>
      <c r="HT54" s="2133">
        <f t="shared" si="376"/>
        <v>2.5474297045491312E-4</v>
      </c>
      <c r="HU54" s="2133">
        <f t="shared" si="376"/>
        <v>9.2736016890526685E-5</v>
      </c>
      <c r="HV54" s="2133">
        <f t="shared" si="376"/>
        <v>1.5456443106476314E-4</v>
      </c>
      <c r="HW54" s="2133">
        <f t="shared" si="376"/>
        <v>-7.4425224984298044E-6</v>
      </c>
      <c r="HX54" s="310"/>
      <c r="HY54" s="310"/>
      <c r="HZ54" s="892"/>
      <c r="IA54" s="1985" t="s">
        <v>400</v>
      </c>
      <c r="IB54" s="2024">
        <f>IB$11</f>
        <v>2026</v>
      </c>
      <c r="IC54" s="2024">
        <f t="shared" ref="IC54:IG54" si="386">IC$11</f>
        <v>2025</v>
      </c>
      <c r="ID54" s="2024">
        <f t="shared" si="386"/>
        <v>2026</v>
      </c>
      <c r="IE54" s="2024">
        <f t="shared" si="386"/>
        <v>2025</v>
      </c>
      <c r="IF54" s="2024">
        <f t="shared" si="386"/>
        <v>2026</v>
      </c>
      <c r="IG54" s="2025">
        <f t="shared" si="386"/>
        <v>2025</v>
      </c>
      <c r="IH54" s="1149"/>
      <c r="II54" s="250"/>
      <c r="IJ54" s="242"/>
      <c r="IK54" s="242"/>
      <c r="IL54" s="242"/>
      <c r="IM54" s="242"/>
      <c r="IN54" s="1183" t="str">
        <f t="shared" si="348"/>
        <v>Varav periodens totalresultat hänförligt till:</v>
      </c>
      <c r="IO54" s="1242"/>
      <c r="IP54" s="1242"/>
      <c r="IQ54" s="1242"/>
      <c r="IR54" s="242"/>
      <c r="IS54" s="242"/>
      <c r="IT54" s="1678">
        <f t="shared" si="174"/>
        <v>0</v>
      </c>
      <c r="IU54" s="264">
        <f t="shared" si="349"/>
        <v>44</v>
      </c>
      <c r="IV54" s="242"/>
      <c r="IW54" s="242"/>
      <c r="IX54" s="1183" t="s">
        <v>402</v>
      </c>
      <c r="IY54" s="1183"/>
      <c r="IZ54" s="1232"/>
      <c r="JA54" s="1242"/>
      <c r="JB54" s="1232"/>
      <c r="JC54" s="242"/>
      <c r="JD54" s="242"/>
      <c r="JE54" s="242"/>
      <c r="JF54" s="1663" t="str">
        <f t="shared" si="350"/>
        <v>Varav periodens totalresultat hänförligt till:</v>
      </c>
      <c r="JG54" s="1765"/>
      <c r="JH54" s="1766"/>
      <c r="JI54" s="1765"/>
      <c r="JJ54" s="242"/>
      <c r="JK54" s="242"/>
      <c r="JL54" s="242"/>
      <c r="JM54" s="1183" t="s">
        <v>401</v>
      </c>
      <c r="JN54" s="1232"/>
      <c r="JO54" s="1242"/>
      <c r="JP54" s="1232"/>
      <c r="JQ54" s="242"/>
    </row>
    <row r="55" spans="2:277" s="269" customFormat="1" ht="11.25" customHeight="1" outlineLevel="1" x14ac:dyDescent="0.2">
      <c r="B55" s="264">
        <f t="shared" si="27"/>
        <v>46</v>
      </c>
      <c r="D55" s="358" t="str">
        <f>+[2]rapkvart!$B48</f>
        <v>Moderbolagets ägare</v>
      </c>
      <c r="E55" s="358"/>
      <c r="G55" s="1081">
        <f>[2]rapkvart!S48</f>
        <v>24.200000000000042</v>
      </c>
      <c r="H55" s="1081">
        <f>[2]rapkvart!T48</f>
        <v>66.100000000000108</v>
      </c>
      <c r="I55" s="1081">
        <f>[2]rapkvart!U48</f>
        <v>87.599999999999895</v>
      </c>
      <c r="J55" s="1081">
        <f>[2]rapkvart!V48</f>
        <v>96.300000000000139</v>
      </c>
      <c r="K55" s="1081">
        <f>[2]rapkvart!O48</f>
        <v>51.400000000000063</v>
      </c>
      <c r="L55" s="1081">
        <f>[2]rapkvart!P48</f>
        <v>61.799999999999926</v>
      </c>
      <c r="M55" s="1081">
        <f>[2]rapkvart!Q48</f>
        <v>79.40000000000002</v>
      </c>
      <c r="N55" s="1081">
        <f>[2]rapkvart!R48</f>
        <v>78.100000000000122</v>
      </c>
      <c r="O55" s="1081">
        <f>[2]rapkvart!K48</f>
        <v>29.999999999999986</v>
      </c>
      <c r="P55" s="1081">
        <f>[2]rapkvart!L48</f>
        <v>96.700000000000045</v>
      </c>
      <c r="Q55" s="1081">
        <f>[2]rapkvart!M48</f>
        <v>79.40000000000002</v>
      </c>
      <c r="R55" s="1081">
        <f>[2]rapkvart!N48</f>
        <v>78.100000000000122</v>
      </c>
      <c r="S55" s="1072"/>
      <c r="T55" s="1073">
        <f>[2]rapkvart!AE48</f>
        <v>24.200000000000042</v>
      </c>
      <c r="U55" s="1073">
        <f>[2]rapkvart!AF48</f>
        <v>41.900000000000063</v>
      </c>
      <c r="V55" s="1073">
        <f>[2]rapkvart!AG48</f>
        <v>21.499999999999787</v>
      </c>
      <c r="W55" s="1073">
        <f>[2]rapkvart!AH48</f>
        <v>8.7000000000002444</v>
      </c>
      <c r="X55" s="1073">
        <f>[2]rapkvart!AA48</f>
        <v>51.400000000000063</v>
      </c>
      <c r="Y55" s="1073">
        <f>[2]rapkvart!AB48</f>
        <v>10.399999999999864</v>
      </c>
      <c r="Z55" s="1073">
        <f>[2]rapkvart!AC48</f>
        <v>17.600000000000094</v>
      </c>
      <c r="AA55" s="1073">
        <f>[2]rapkvart!AD48</f>
        <v>-1.2999999999998977</v>
      </c>
      <c r="AB55" s="1073">
        <f>[2]rapkvart!W48</f>
        <v>29.999999999999986</v>
      </c>
      <c r="AC55" s="1073">
        <f>[2]rapkvart!X48</f>
        <v>66.70000000000006</v>
      </c>
      <c r="AD55" s="1073">
        <f>[2]rapkvart!Y48</f>
        <v>-17.300000000000026</v>
      </c>
      <c r="AE55" s="1073">
        <f>[2]rapkvart!Z48</f>
        <v>-1.2999999999998977</v>
      </c>
      <c r="AU55" s="367"/>
      <c r="AV55" s="1183" t="str">
        <f t="shared" si="306"/>
        <v>Moderbolagets ägare</v>
      </c>
      <c r="AW55" s="1182"/>
      <c r="AX55" s="1232">
        <f>$AC55</f>
        <v>66.70000000000006</v>
      </c>
      <c r="AY55" s="1233">
        <f>$Y55</f>
        <v>10.399999999999864</v>
      </c>
      <c r="AZ55" s="1232">
        <f>P55</f>
        <v>96.700000000000045</v>
      </c>
      <c r="BA55" s="1233">
        <f>L55</f>
        <v>61.799999999999926</v>
      </c>
      <c r="BB55" s="1232">
        <f>SUM(Z55:AC55)</f>
        <v>113.00000000000024</v>
      </c>
      <c r="BC55" s="1233">
        <f>N55</f>
        <v>78.100000000000122</v>
      </c>
      <c r="BD55" s="367"/>
      <c r="BE55" s="1183" t="s">
        <v>339</v>
      </c>
      <c r="BF55" s="1182"/>
      <c r="BG55" s="1232">
        <f t="shared" ref="BG55" si="387">AX55</f>
        <v>66.70000000000006</v>
      </c>
      <c r="BH55" s="1233">
        <f t="shared" ref="BH55" si="388">AY55</f>
        <v>10.399999999999864</v>
      </c>
      <c r="BI55" s="1232">
        <f t="shared" ref="BI55" si="389">AZ55</f>
        <v>96.700000000000045</v>
      </c>
      <c r="BJ55" s="1233">
        <f t="shared" ref="BJ55" si="390">BA55</f>
        <v>61.799999999999926</v>
      </c>
      <c r="BK55" s="1232">
        <f t="shared" ref="BK55" si="391">BB55</f>
        <v>113.00000000000024</v>
      </c>
      <c r="BL55" s="1233">
        <f t="shared" ref="BL55" si="392">BC55</f>
        <v>78.100000000000122</v>
      </c>
      <c r="BN55" s="242"/>
      <c r="BP55" s="320" t="str">
        <f t="shared" si="307"/>
        <v>Moderbolagets ägare</v>
      </c>
      <c r="BQ55" s="321"/>
      <c r="BR55" s="320"/>
      <c r="BS55" s="320"/>
      <c r="BT55" s="320"/>
      <c r="BU55" s="320"/>
      <c r="BV55" s="320"/>
      <c r="BW55" s="320"/>
      <c r="BX55" s="320"/>
      <c r="BY55" s="320"/>
      <c r="BZ55" s="320"/>
      <c r="CA55" s="320"/>
      <c r="CB55" s="320"/>
      <c r="CE55" s="1288">
        <f t="shared" si="171"/>
        <v>0</v>
      </c>
      <c r="CF55" s="281">
        <f t="shared" si="36"/>
        <v>45</v>
      </c>
      <c r="CH55" s="2130"/>
      <c r="CI55" s="2125" t="s">
        <v>340</v>
      </c>
      <c r="CJ55" s="2125"/>
      <c r="CK55" s="2126">
        <f>CK53-CK56</f>
        <v>5.6971850000000135</v>
      </c>
      <c r="CL55" s="2126">
        <f t="shared" ref="CL55:CV55" si="393">CL53-CL56</f>
        <v>23.89678500000004</v>
      </c>
      <c r="CM55" s="2126">
        <f t="shared" si="393"/>
        <v>3.0719849999998567</v>
      </c>
      <c r="CN55" s="2126">
        <f t="shared" si="393"/>
        <v>-5.0900149999998172</v>
      </c>
      <c r="CO55" s="2126">
        <f t="shared" si="393"/>
        <v>32.467350000000053</v>
      </c>
      <c r="CP55" s="2126">
        <f t="shared" si="393"/>
        <v>-6.604250000000162</v>
      </c>
      <c r="CQ55" s="2126">
        <f t="shared" si="393"/>
        <v>-4.5768499999999364</v>
      </c>
      <c r="CR55" s="2126">
        <f t="shared" si="393"/>
        <v>-18.497049999999909</v>
      </c>
      <c r="CS55" s="2126">
        <f t="shared" si="393"/>
        <v>11.34409025199998</v>
      </c>
      <c r="CT55" s="2126">
        <f t="shared" si="393"/>
        <v>45.936047664000093</v>
      </c>
      <c r="CU55" s="2126">
        <f t="shared" si="393"/>
        <v>-16.413000000000039</v>
      </c>
      <c r="CV55" s="2126">
        <f t="shared" si="393"/>
        <v>1.8776000000000779</v>
      </c>
      <c r="CW55" s="2129"/>
      <c r="CX55" s="1008"/>
      <c r="CY55" s="1008"/>
      <c r="CZ55" s="1008"/>
      <c r="DA55" s="1008"/>
      <c r="DB55" s="1008"/>
      <c r="DC55" s="1008"/>
      <c r="DD55" s="1008"/>
      <c r="DE55" s="1008"/>
      <c r="DF55" s="1008"/>
      <c r="DG55" s="1008"/>
      <c r="DH55" s="1008"/>
      <c r="DI55" s="1008"/>
      <c r="DJ55" s="244"/>
      <c r="DK55" s="1642" t="str">
        <f t="shared" si="73"/>
        <v>Moderbolagets ägare</v>
      </c>
      <c r="DL55" s="1625">
        <f t="shared" si="38"/>
        <v>-18.502815000000027</v>
      </c>
      <c r="DM55" s="1625">
        <f t="shared" si="39"/>
        <v>-18.003215000000022</v>
      </c>
      <c r="DN55" s="1625">
        <f t="shared" si="40"/>
        <v>-18.428014999999931</v>
      </c>
      <c r="DO55" s="1625">
        <f t="shared" si="41"/>
        <v>-13.790015000000061</v>
      </c>
      <c r="DP55" s="1625">
        <f t="shared" si="42"/>
        <v>-18.93265000000001</v>
      </c>
      <c r="DQ55" s="1625">
        <f t="shared" si="43"/>
        <v>-17.004250000000027</v>
      </c>
      <c r="DR55" s="1625">
        <f t="shared" si="44"/>
        <v>-22.17685000000003</v>
      </c>
      <c r="DS55" s="1625">
        <f t="shared" si="45"/>
        <v>-17.197050000000011</v>
      </c>
      <c r="DT55" s="1625">
        <f t="shared" si="46"/>
        <v>-18.655909748000006</v>
      </c>
      <c r="DU55" s="1661">
        <f t="shared" si="47"/>
        <v>-20.763952335999967</v>
      </c>
      <c r="DV55" s="1625">
        <f t="shared" si="48"/>
        <v>0.88699999999998624</v>
      </c>
      <c r="DW55" s="1625">
        <f t="shared" si="49"/>
        <v>3.1775999999999756</v>
      </c>
      <c r="DX55" s="366"/>
      <c r="DY55" s="1183" t="str">
        <f t="shared" si="308"/>
        <v>Moderbolagets ägare</v>
      </c>
      <c r="DZ55" s="1182"/>
      <c r="EA55" s="1232">
        <f t="shared" ref="EA55:EF56" si="394">EA$53*EA89</f>
        <v>46.455768071200083</v>
      </c>
      <c r="EB55" s="1233">
        <f t="shared" si="394"/>
        <v>-4.7961754143647859</v>
      </c>
      <c r="EC55" s="1232">
        <f t="shared" si="394"/>
        <v>58.636134960657188</v>
      </c>
      <c r="ED55" s="1233">
        <f t="shared" si="394"/>
        <v>26.629672375690483</v>
      </c>
      <c r="EE55" s="1232">
        <f t="shared" si="394"/>
        <v>37.608689960657358</v>
      </c>
      <c r="EF55" s="1233">
        <f t="shared" si="394"/>
        <v>12.737254545455077</v>
      </c>
      <c r="EG55" s="367"/>
      <c r="EH55" s="242"/>
      <c r="EI55" s="242"/>
      <c r="EK55" s="1183" t="s">
        <v>339</v>
      </c>
      <c r="EL55" s="1182"/>
      <c r="EM55" s="1232">
        <f t="shared" si="74"/>
        <v>46.455768071200083</v>
      </c>
      <c r="EN55" s="1233">
        <f t="shared" si="75"/>
        <v>-4.7961754143647859</v>
      </c>
      <c r="EO55" s="1232">
        <f t="shared" si="76"/>
        <v>58.636134960657188</v>
      </c>
      <c r="EP55" s="1233">
        <f t="shared" si="77"/>
        <v>26.629672375690483</v>
      </c>
      <c r="EQ55" s="1232">
        <f t="shared" si="78"/>
        <v>37.608689960657358</v>
      </c>
      <c r="ER55" s="1233">
        <f t="shared" si="79"/>
        <v>12.737254545455077</v>
      </c>
      <c r="ET55" s="242"/>
      <c r="EW55" s="310"/>
      <c r="EX55" s="310"/>
      <c r="EY55" s="310"/>
      <c r="EZ55" s="310"/>
      <c r="FA55" s="310"/>
      <c r="FB55" s="310"/>
      <c r="FC55" s="310"/>
      <c r="FD55" s="310"/>
      <c r="FE55" s="310"/>
      <c r="FF55" s="310"/>
      <c r="FG55" s="310"/>
      <c r="FH55" s="310"/>
      <c r="FI55" s="310"/>
      <c r="FJ55" s="310"/>
      <c r="FK55" s="310"/>
      <c r="FL55" s="310"/>
      <c r="FM55" s="310"/>
      <c r="FN55" s="310"/>
      <c r="FO55" s="310"/>
      <c r="FP55" s="310"/>
      <c r="FQ55" s="310"/>
      <c r="FR55" s="310"/>
      <c r="FS55" s="310"/>
      <c r="FT55" s="310"/>
      <c r="FU55" s="310"/>
      <c r="FV55" s="310"/>
      <c r="FW55" s="310"/>
      <c r="FX55" s="310"/>
      <c r="FY55" s="310"/>
      <c r="FZ55" s="310"/>
      <c r="GA55" s="310"/>
      <c r="GB55" s="310"/>
      <c r="GC55" s="310"/>
      <c r="GD55" s="310"/>
      <c r="GE55" s="310"/>
      <c r="GF55" s="310"/>
      <c r="GG55" s="310"/>
      <c r="GH55" s="310"/>
      <c r="GI55" s="310"/>
      <c r="GJ55" s="310"/>
      <c r="GK55" s="310"/>
      <c r="GL55" s="310"/>
      <c r="GM55" s="310"/>
      <c r="GN55" s="310"/>
      <c r="GO55" s="310"/>
      <c r="GP55" s="310"/>
      <c r="GQ55" s="310"/>
      <c r="GR55" s="310"/>
      <c r="GS55" s="310"/>
      <c r="GT55" s="890"/>
      <c r="GU55" s="2266" t="s">
        <v>879</v>
      </c>
      <c r="GV55" s="242"/>
      <c r="GW55" s="1991">
        <f>T86*-1</f>
        <v>-22.9</v>
      </c>
      <c r="GX55" s="1991">
        <f t="shared" ref="GX55:HH55" si="395">U86*-1</f>
        <v>-23.5</v>
      </c>
      <c r="GY55" s="1991">
        <f t="shared" si="395"/>
        <v>-22.999999999999993</v>
      </c>
      <c r="GZ55" s="1991">
        <f t="shared" si="395"/>
        <v>-22</v>
      </c>
      <c r="HA55" s="1991">
        <f t="shared" si="395"/>
        <v>-21.9</v>
      </c>
      <c r="HB55" s="1991">
        <f t="shared" si="395"/>
        <v>-22.8</v>
      </c>
      <c r="HC55" s="1991">
        <f t="shared" si="395"/>
        <v>-22.200000000000003</v>
      </c>
      <c r="HD55" s="1991">
        <f t="shared" si="395"/>
        <v>-21.799999999999994</v>
      </c>
      <c r="HE55" s="1991">
        <f t="shared" si="395"/>
        <v>-22.000000000000004</v>
      </c>
      <c r="HF55" s="1991">
        <f t="shared" si="395"/>
        <v>-21.699999999999996</v>
      </c>
      <c r="HG55" s="1991">
        <f t="shared" si="395"/>
        <v>-23.200000000000003</v>
      </c>
      <c r="HH55" s="1991">
        <f t="shared" si="395"/>
        <v>-21.799999999999994</v>
      </c>
      <c r="HI55" s="310"/>
      <c r="HJ55" s="1203">
        <f t="shared" ref="HJ55" si="396">HF55</f>
        <v>-21.699999999999996</v>
      </c>
      <c r="HK55" s="1204">
        <f t="shared" ref="HK55" si="397">HB55</f>
        <v>-22.8</v>
      </c>
      <c r="HL55" s="1203">
        <f>SUM(HE55:HF55)</f>
        <v>-43.7</v>
      </c>
      <c r="HM55" s="1204">
        <f>SUM(HA55:HB55)</f>
        <v>-44.7</v>
      </c>
      <c r="HN55" s="1203">
        <f>SUM(HC55:HF55)</f>
        <v>-87.699999999999989</v>
      </c>
      <c r="HO55" s="2017">
        <f>SUM(HA55:HD55)</f>
        <v>-88.7</v>
      </c>
      <c r="HP55" s="2003"/>
      <c r="HQ55" s="2150"/>
      <c r="HR55" s="2133"/>
      <c r="HS55" s="2133"/>
      <c r="HT55" s="2133"/>
      <c r="HU55" s="2133"/>
      <c r="HV55" s="2133"/>
      <c r="HW55" s="2133"/>
      <c r="HX55" s="310"/>
      <c r="HY55" s="310"/>
      <c r="HZ55" s="892"/>
      <c r="IA55" s="923" t="s">
        <v>880</v>
      </c>
      <c r="IB55" s="2066">
        <f t="shared" ref="IB55:IG61" si="398">HJ55</f>
        <v>-21.699999999999996</v>
      </c>
      <c r="IC55" s="2067">
        <f t="shared" si="398"/>
        <v>-22.8</v>
      </c>
      <c r="ID55" s="1203">
        <f t="shared" si="398"/>
        <v>-43.7</v>
      </c>
      <c r="IE55" s="1204">
        <f t="shared" si="398"/>
        <v>-44.7</v>
      </c>
      <c r="IF55" s="1203">
        <f t="shared" si="398"/>
        <v>-87.699999999999989</v>
      </c>
      <c r="IG55" s="2017">
        <f t="shared" si="398"/>
        <v>-88.7</v>
      </c>
      <c r="IH55" s="1219"/>
      <c r="II55" s="242"/>
      <c r="IJ55" s="242"/>
      <c r="IK55" s="242"/>
      <c r="IL55" s="242"/>
      <c r="IM55" s="242"/>
      <c r="IN55" s="1183" t="str">
        <f t="shared" si="348"/>
        <v>Moderbolagets ägare</v>
      </c>
      <c r="IO55" s="1242"/>
      <c r="IP55" s="1242"/>
      <c r="IQ55" s="1242"/>
      <c r="IR55" s="242"/>
      <c r="IS55" s="242"/>
      <c r="IT55" s="1678">
        <f t="shared" si="174"/>
        <v>0</v>
      </c>
      <c r="IU55" s="264">
        <f t="shared" si="349"/>
        <v>45</v>
      </c>
      <c r="IV55" s="242"/>
      <c r="IW55" s="1705"/>
      <c r="IX55" s="1183" t="s">
        <v>340</v>
      </c>
      <c r="IY55" s="1183"/>
      <c r="IZ55" s="1232">
        <f>AX55</f>
        <v>66.70000000000006</v>
      </c>
      <c r="JA55" s="1242">
        <f t="shared" si="86"/>
        <v>-20.244231928799977</v>
      </c>
      <c r="JB55" s="1232">
        <f>SUM(EA55)</f>
        <v>46.455768071200083</v>
      </c>
      <c r="JC55" s="1342"/>
      <c r="JD55" s="242"/>
      <c r="JE55" s="242"/>
      <c r="JF55" s="1183" t="str">
        <f t="shared" si="350"/>
        <v>Moderbolagets ägare</v>
      </c>
      <c r="JG55" s="1232">
        <f t="shared" ref="JG55:JI57" si="399">IZ55</f>
        <v>66.70000000000006</v>
      </c>
      <c r="JH55" s="1242">
        <f t="shared" si="399"/>
        <v>-20.244231928799977</v>
      </c>
      <c r="JI55" s="1232">
        <f t="shared" si="399"/>
        <v>46.455768071200083</v>
      </c>
      <c r="JJ55" s="242"/>
      <c r="JK55" s="242"/>
      <c r="JL55" s="242"/>
      <c r="JM55" s="1183" t="s">
        <v>339</v>
      </c>
      <c r="JN55" s="1232">
        <f>$JG55</f>
        <v>66.70000000000006</v>
      </c>
      <c r="JO55" s="1242">
        <f>$JH55</f>
        <v>-20.244231928799977</v>
      </c>
      <c r="JP55" s="1232">
        <f>$JI55</f>
        <v>46.455768071200083</v>
      </c>
      <c r="JQ55" s="242"/>
    </row>
    <row r="56" spans="2:277" s="269" customFormat="1" ht="11.25" customHeight="1" outlineLevel="1" x14ac:dyDescent="0.2">
      <c r="B56" s="264">
        <f t="shared" si="27"/>
        <v>47</v>
      </c>
      <c r="D56" s="358" t="str">
        <f>+[2]rapkvart!$B49</f>
        <v>Innehav utan bestämmande inflytande</v>
      </c>
      <c r="E56" s="358"/>
      <c r="G56" s="1081">
        <f>[2]rapkvart!S49</f>
        <v>2.1</v>
      </c>
      <c r="H56" s="1081">
        <f>[2]rapkvart!T49</f>
        <v>4.3</v>
      </c>
      <c r="I56" s="1081">
        <f>[2]rapkvart!U49</f>
        <v>6.4</v>
      </c>
      <c r="J56" s="1081">
        <f>[2]rapkvart!V49</f>
        <v>6.4</v>
      </c>
      <c r="K56" s="1081">
        <f>[2]rapkvart!O49</f>
        <v>1.6</v>
      </c>
      <c r="L56" s="1081">
        <f>[2]rapkvart!P49</f>
        <v>3</v>
      </c>
      <c r="M56" s="1081">
        <f>[2]rapkvart!Q49</f>
        <v>3.8</v>
      </c>
      <c r="N56" s="1081">
        <f>[2]rapkvart!R49</f>
        <v>4.5999999999999996</v>
      </c>
      <c r="O56" s="1081">
        <f>[2]rapkvart!K49</f>
        <v>1.1000000000000001</v>
      </c>
      <c r="P56" s="1081">
        <f>[2]rapkvart!L49</f>
        <v>2.6</v>
      </c>
      <c r="Q56" s="1081">
        <f>[2]rapkvart!M49</f>
        <v>3.8</v>
      </c>
      <c r="R56" s="1081">
        <f>[2]rapkvart!N49</f>
        <v>4.5999999999999996</v>
      </c>
      <c r="S56" s="1072"/>
      <c r="T56" s="1073">
        <f>[2]rapkvart!AE49</f>
        <v>2.1</v>
      </c>
      <c r="U56" s="1073">
        <f>[2]rapkvart!AF49</f>
        <v>2.1999999999999997</v>
      </c>
      <c r="V56" s="1073">
        <f>[2]rapkvart!AG49</f>
        <v>2.1000000000000005</v>
      </c>
      <c r="W56" s="1073">
        <f>[2]rapkvart!AH49</f>
        <v>0</v>
      </c>
      <c r="X56" s="1073">
        <f>[2]rapkvart!AA49</f>
        <v>1.6</v>
      </c>
      <c r="Y56" s="1073">
        <f>[2]rapkvart!AB49</f>
        <v>1.4</v>
      </c>
      <c r="Z56" s="1073">
        <f>[2]rapkvart!AC49</f>
        <v>0.79999999999999982</v>
      </c>
      <c r="AA56" s="1073">
        <f>[2]rapkvart!AD49</f>
        <v>0.79999999999999982</v>
      </c>
      <c r="AB56" s="1073">
        <f>[2]rapkvart!W49</f>
        <v>1.1000000000000001</v>
      </c>
      <c r="AC56" s="1073">
        <f>[2]rapkvart!X49</f>
        <v>1.5</v>
      </c>
      <c r="AD56" s="1073">
        <f>[2]rapkvart!Y49</f>
        <v>1.1999999999999997</v>
      </c>
      <c r="AE56" s="1073">
        <f>[2]rapkvart!Z49</f>
        <v>0.79999999999999982</v>
      </c>
      <c r="AU56" s="367"/>
      <c r="AV56" s="1183" t="str">
        <f t="shared" si="306"/>
        <v>Innehav utan bestämmande inflytande</v>
      </c>
      <c r="AW56" s="1182"/>
      <c r="AX56" s="1232">
        <f>$AC56</f>
        <v>1.5</v>
      </c>
      <c r="AY56" s="1233">
        <f>$Y56</f>
        <v>1.4</v>
      </c>
      <c r="AZ56" s="1232">
        <f>P56</f>
        <v>2.6</v>
      </c>
      <c r="BA56" s="1233">
        <f>L56</f>
        <v>3</v>
      </c>
      <c r="BB56" s="1232">
        <f>SUM(Z56:AC56)</f>
        <v>4.1999999999999993</v>
      </c>
      <c r="BC56" s="1233">
        <f>N56</f>
        <v>4.5999999999999996</v>
      </c>
      <c r="BD56" s="367"/>
      <c r="BE56" s="1183" t="s">
        <v>345</v>
      </c>
      <c r="BF56" s="1182"/>
      <c r="BG56" s="1232">
        <f t="shared" ref="BG56:BG57" si="400">AX56</f>
        <v>1.5</v>
      </c>
      <c r="BH56" s="1233">
        <f t="shared" ref="BH56:BH57" si="401">AY56</f>
        <v>1.4</v>
      </c>
      <c r="BI56" s="1232">
        <f t="shared" ref="BI56:BI57" si="402">AZ56</f>
        <v>2.6</v>
      </c>
      <c r="BJ56" s="1233">
        <f t="shared" ref="BJ56:BJ57" si="403">BA56</f>
        <v>3</v>
      </c>
      <c r="BK56" s="1232">
        <f t="shared" ref="BK56:BK57" si="404">BB56</f>
        <v>4.1999999999999993</v>
      </c>
      <c r="BL56" s="1233">
        <f t="shared" ref="BL56:BL57" si="405">BC56</f>
        <v>4.5999999999999996</v>
      </c>
      <c r="BN56" s="242"/>
      <c r="BP56" s="354" t="str">
        <f t="shared" si="307"/>
        <v>Innehav utan bestämmande inflytande</v>
      </c>
      <c r="BQ56" s="353"/>
      <c r="BR56" s="354"/>
      <c r="BS56" s="354"/>
      <c r="BT56" s="354"/>
      <c r="BU56" s="354"/>
      <c r="BV56" s="354"/>
      <c r="BW56" s="354"/>
      <c r="BX56" s="354"/>
      <c r="BY56" s="354"/>
      <c r="BZ56" s="354"/>
      <c r="CA56" s="354"/>
      <c r="CB56" s="354"/>
      <c r="CE56" s="1288">
        <f t="shared" si="171"/>
        <v>0</v>
      </c>
      <c r="CF56" s="281">
        <f t="shared" si="36"/>
        <v>46</v>
      </c>
      <c r="CH56" s="2130"/>
      <c r="CI56" s="2127" t="s">
        <v>346</v>
      </c>
      <c r="CJ56" s="2128"/>
      <c r="CK56" s="2128">
        <f>CK38</f>
        <v>2.077</v>
      </c>
      <c r="CL56" s="2128">
        <f t="shared" ref="CL56:CV56" si="406">CL38</f>
        <v>2.1870000000000003</v>
      </c>
      <c r="CM56" s="2128">
        <f t="shared" si="406"/>
        <v>2.1269999999999998</v>
      </c>
      <c r="CN56" s="2128">
        <f t="shared" si="406"/>
        <v>3.9999999999995595E-3</v>
      </c>
      <c r="CO56" s="2128">
        <f t="shared" si="406"/>
        <v>1.593</v>
      </c>
      <c r="CP56" s="2128">
        <f t="shared" si="406"/>
        <v>1.4060000000000001</v>
      </c>
      <c r="CQ56" s="2128">
        <f t="shared" si="406"/>
        <v>0.84299999999999997</v>
      </c>
      <c r="CR56" s="2128">
        <f t="shared" si="406"/>
        <v>0.74299999999999988</v>
      </c>
      <c r="CS56" s="2128">
        <f t="shared" si="406"/>
        <v>1.103</v>
      </c>
      <c r="CT56" s="2128">
        <f t="shared" si="406"/>
        <v>1.5370000000000001</v>
      </c>
      <c r="CU56" s="2128">
        <f t="shared" si="406"/>
        <v>0</v>
      </c>
      <c r="CV56" s="2128">
        <f t="shared" si="406"/>
        <v>0</v>
      </c>
      <c r="CW56" s="2129"/>
      <c r="CX56" s="1008"/>
      <c r="CY56" s="1008"/>
      <c r="CZ56" s="1008"/>
      <c r="DA56" s="1008"/>
      <c r="DB56" s="1008"/>
      <c r="DC56" s="1008"/>
      <c r="DD56" s="1008"/>
      <c r="DE56" s="1008"/>
      <c r="DF56" s="1008"/>
      <c r="DG56" s="1008"/>
      <c r="DH56" s="1008"/>
      <c r="DI56" s="1008"/>
      <c r="DJ56" s="244"/>
      <c r="DK56" s="1632" t="str">
        <f t="shared" si="73"/>
        <v>Innehav utan bestämmande inflytande</v>
      </c>
      <c r="DL56" s="1625">
        <f t="shared" si="38"/>
        <v>-2.3000000000000131E-2</v>
      </c>
      <c r="DM56" s="1625">
        <f t="shared" si="39"/>
        <v>-1.2999999999999456E-2</v>
      </c>
      <c r="DN56" s="1625">
        <f t="shared" si="40"/>
        <v>2.6999999999999247E-2</v>
      </c>
      <c r="DO56" s="1625">
        <f t="shared" si="41"/>
        <v>3.9999999999995595E-3</v>
      </c>
      <c r="DP56" s="1625">
        <f t="shared" si="42"/>
        <v>-7.0000000000001172E-3</v>
      </c>
      <c r="DQ56" s="1625">
        <f t="shared" si="43"/>
        <v>6.0000000000002274E-3</v>
      </c>
      <c r="DR56" s="1625">
        <f t="shared" si="44"/>
        <v>4.3000000000000149E-2</v>
      </c>
      <c r="DS56" s="1625">
        <f t="shared" si="45"/>
        <v>-5.699999999999994E-2</v>
      </c>
      <c r="DT56" s="1625">
        <f t="shared" si="46"/>
        <v>2.9999999999998916E-3</v>
      </c>
      <c r="DU56" s="1661">
        <f t="shared" si="47"/>
        <v>3.7000000000000144E-2</v>
      </c>
      <c r="DV56" s="1625">
        <f t="shared" si="48"/>
        <v>-1.1999999999999997</v>
      </c>
      <c r="DW56" s="1625">
        <f t="shared" si="49"/>
        <v>-0.79999999999999982</v>
      </c>
      <c r="DX56" s="366"/>
      <c r="DY56" s="1183" t="str">
        <f t="shared" si="308"/>
        <v>Innehav utan bestämmande inflytande</v>
      </c>
      <c r="DZ56" s="1182"/>
      <c r="EA56" s="1232">
        <f t="shared" si="394"/>
        <v>1.0172795928000009</v>
      </c>
      <c r="EB56" s="1233">
        <f t="shared" si="394"/>
        <v>-0.40207458563537474</v>
      </c>
      <c r="EC56" s="1232">
        <f t="shared" si="394"/>
        <v>1.2840029553428571</v>
      </c>
      <c r="ED56" s="1233">
        <f t="shared" si="394"/>
        <v>2.232427624309401</v>
      </c>
      <c r="EE56" s="1232">
        <f t="shared" si="394"/>
        <v>0.82354795534286118</v>
      </c>
      <c r="EF56" s="1233">
        <f t="shared" si="394"/>
        <v>-5.3630545454550331</v>
      </c>
      <c r="EG56" s="367"/>
      <c r="EH56" s="242"/>
      <c r="EI56" s="242"/>
      <c r="EK56" s="1183" t="s">
        <v>345</v>
      </c>
      <c r="EL56" s="1182"/>
      <c r="EM56" s="1232">
        <f t="shared" si="74"/>
        <v>1.0172795928000009</v>
      </c>
      <c r="EN56" s="1233">
        <f t="shared" si="75"/>
        <v>-0.40207458563537474</v>
      </c>
      <c r="EO56" s="1232">
        <f t="shared" si="76"/>
        <v>1.2840029553428571</v>
      </c>
      <c r="EP56" s="1233">
        <f t="shared" si="77"/>
        <v>2.232427624309401</v>
      </c>
      <c r="EQ56" s="1232">
        <f t="shared" si="78"/>
        <v>0.82354795534286118</v>
      </c>
      <c r="ER56" s="1233">
        <f t="shared" si="79"/>
        <v>-5.3630545454550331</v>
      </c>
      <c r="ET56" s="242"/>
      <c r="EW56" s="310"/>
      <c r="EX56" s="310"/>
      <c r="EY56" s="310"/>
      <c r="EZ56" s="310"/>
      <c r="FA56" s="310"/>
      <c r="FB56" s="310"/>
      <c r="FC56" s="310"/>
      <c r="FD56" s="310"/>
      <c r="FE56" s="310"/>
      <c r="FF56" s="310"/>
      <c r="FG56" s="310"/>
      <c r="FH56" s="310"/>
      <c r="FI56" s="310"/>
      <c r="FJ56" s="310"/>
      <c r="FK56" s="310"/>
      <c r="FL56" s="310"/>
      <c r="FM56" s="310"/>
      <c r="FN56" s="310"/>
      <c r="FO56" s="310"/>
      <c r="FP56" s="310"/>
      <c r="FQ56" s="310"/>
      <c r="FR56" s="310"/>
      <c r="FS56" s="310"/>
      <c r="FT56" s="310"/>
      <c r="FU56" s="310"/>
      <c r="FV56" s="310"/>
      <c r="FW56" s="310"/>
      <c r="FX56" s="310"/>
      <c r="FY56" s="310"/>
      <c r="FZ56" s="310"/>
      <c r="GA56" s="310"/>
      <c r="GB56" s="310"/>
      <c r="GC56" s="310"/>
      <c r="GD56" s="310"/>
      <c r="GE56" s="310"/>
      <c r="GF56" s="310"/>
      <c r="GG56" s="310"/>
      <c r="GH56" s="310"/>
      <c r="GI56" s="310"/>
      <c r="GJ56" s="310"/>
      <c r="GK56" s="310"/>
      <c r="GL56" s="310"/>
      <c r="GM56" s="310"/>
      <c r="GN56" s="310"/>
      <c r="GO56" s="310"/>
      <c r="GP56" s="310"/>
      <c r="GQ56" s="310"/>
      <c r="GR56" s="310"/>
      <c r="GS56" s="310"/>
      <c r="GT56" s="890"/>
      <c r="GU56" s="412" t="s">
        <v>248</v>
      </c>
      <c r="GV56" s="242"/>
      <c r="GW56" s="1992">
        <f t="shared" ref="GW56:HH56" si="407">T$19</f>
        <v>43.600000000000044</v>
      </c>
      <c r="GX56" s="1992">
        <f t="shared" si="407"/>
        <v>54.900000000000048</v>
      </c>
      <c r="GY56" s="1992">
        <f t="shared" si="407"/>
        <v>33.699999999999818</v>
      </c>
      <c r="GZ56" s="1992">
        <f t="shared" si="407"/>
        <v>28.600000000000229</v>
      </c>
      <c r="HA56" s="1992">
        <f t="shared" si="407"/>
        <v>57.500000000000099</v>
      </c>
      <c r="HB56" s="1992">
        <f t="shared" si="407"/>
        <v>40.399999999999849</v>
      </c>
      <c r="HC56" s="1992">
        <f t="shared" si="407"/>
        <v>29.100000000000094</v>
      </c>
      <c r="HD56" s="1992">
        <f t="shared" si="407"/>
        <v>21.600000000000094</v>
      </c>
      <c r="HE56" s="1992">
        <f t="shared" si="407"/>
        <v>50.399999999999984</v>
      </c>
      <c r="HF56" s="1992">
        <f t="shared" si="407"/>
        <v>92.400000000000063</v>
      </c>
      <c r="HG56" s="1992">
        <f t="shared" si="407"/>
        <v>-15.800000000000045</v>
      </c>
      <c r="HH56" s="1992">
        <f t="shared" si="407"/>
        <v>21.600000000000094</v>
      </c>
      <c r="HI56" s="310"/>
      <c r="HJ56" s="1203">
        <f t="shared" ref="HJ56:HJ61" si="408">HF56</f>
        <v>92.400000000000063</v>
      </c>
      <c r="HK56" s="1204">
        <f t="shared" ref="HK56:HK61" si="409">HB56</f>
        <v>40.399999999999849</v>
      </c>
      <c r="HL56" s="1203">
        <f>SUM(HE56:HF56)</f>
        <v>142.80000000000004</v>
      </c>
      <c r="HM56" s="1204">
        <f>SUM(HA56:HB56)</f>
        <v>97.899999999999949</v>
      </c>
      <c r="HN56" s="1203">
        <f>SUM(HC56:HF56)</f>
        <v>193.50000000000023</v>
      </c>
      <c r="HO56" s="2017">
        <f>SUM(HA56:HD56)</f>
        <v>148.60000000000014</v>
      </c>
      <c r="HP56" s="1999"/>
      <c r="HQ56" s="310"/>
      <c r="HR56" s="310"/>
      <c r="HS56" s="310"/>
      <c r="HT56" s="310"/>
      <c r="HU56" s="310"/>
      <c r="HV56" s="310"/>
      <c r="HW56" s="310"/>
      <c r="HX56" s="310"/>
      <c r="HY56" s="310"/>
      <c r="HZ56" s="892"/>
      <c r="IA56" s="412" t="s">
        <v>315</v>
      </c>
      <c r="IB56" s="2066">
        <f t="shared" si="398"/>
        <v>92.400000000000063</v>
      </c>
      <c r="IC56" s="2067">
        <f t="shared" si="398"/>
        <v>40.399999999999849</v>
      </c>
      <c r="ID56" s="1203">
        <f t="shared" si="398"/>
        <v>142.80000000000004</v>
      </c>
      <c r="IE56" s="1204">
        <f t="shared" si="398"/>
        <v>97.899999999999949</v>
      </c>
      <c r="IF56" s="1203">
        <f t="shared" si="398"/>
        <v>193.50000000000023</v>
      </c>
      <c r="IG56" s="2017">
        <f t="shared" si="398"/>
        <v>148.60000000000014</v>
      </c>
      <c r="IH56" s="1219"/>
      <c r="II56" s="242"/>
      <c r="IJ56" s="242"/>
      <c r="IK56" s="242"/>
      <c r="IL56" s="242"/>
      <c r="IM56" s="242"/>
      <c r="IN56" s="1183" t="str">
        <f t="shared" si="348"/>
        <v>Innehav utan bestämmande inflytande</v>
      </c>
      <c r="IO56" s="1242"/>
      <c r="IP56" s="1242"/>
      <c r="IQ56" s="1242"/>
      <c r="IR56" s="242"/>
      <c r="IS56" s="242"/>
      <c r="IT56" s="1678">
        <f t="shared" si="174"/>
        <v>0</v>
      </c>
      <c r="IU56" s="264">
        <f t="shared" si="349"/>
        <v>46</v>
      </c>
      <c r="IV56" s="242"/>
      <c r="IW56" s="1705"/>
      <c r="IX56" s="1183" t="s">
        <v>346</v>
      </c>
      <c r="IY56" s="1183"/>
      <c r="IZ56" s="1232">
        <f>AX56</f>
        <v>1.5</v>
      </c>
      <c r="JA56" s="1242">
        <f t="shared" si="86"/>
        <v>-0.48272040719999909</v>
      </c>
      <c r="JB56" s="1232">
        <f>SUM(EA56)</f>
        <v>1.0172795928000009</v>
      </c>
      <c r="JC56" s="1342"/>
      <c r="JD56" s="242"/>
      <c r="JE56" s="242"/>
      <c r="JF56" s="1183" t="str">
        <f t="shared" si="350"/>
        <v>Innehav utan bestämmande inflytande</v>
      </c>
      <c r="JG56" s="1232">
        <f t="shared" si="399"/>
        <v>1.5</v>
      </c>
      <c r="JH56" s="1242">
        <f t="shared" si="399"/>
        <v>-0.48272040719999909</v>
      </c>
      <c r="JI56" s="1232">
        <f t="shared" si="399"/>
        <v>1.0172795928000009</v>
      </c>
      <c r="JJ56" s="242"/>
      <c r="JK56" s="242"/>
      <c r="JL56" s="242"/>
      <c r="JM56" s="1183" t="s">
        <v>345</v>
      </c>
      <c r="JN56" s="1232">
        <f>$JG56</f>
        <v>1.5</v>
      </c>
      <c r="JO56" s="1242">
        <f>$JH56</f>
        <v>-0.48272040719999909</v>
      </c>
      <c r="JP56" s="1232">
        <f>$JI56</f>
        <v>1.0172795928000009</v>
      </c>
      <c r="JQ56" s="242"/>
    </row>
    <row r="57" spans="2:277" s="269" customFormat="1" ht="13.5" customHeight="1" outlineLevel="1" x14ac:dyDescent="0.2">
      <c r="B57" s="264">
        <f>B56+1</f>
        <v>48</v>
      </c>
      <c r="D57" s="389" t="str">
        <f>BP57</f>
        <v>Periodens totalresultat per aktie, kr*</v>
      </c>
      <c r="E57" s="389"/>
      <c r="F57" s="281"/>
      <c r="G57" s="1091"/>
      <c r="H57" s="1091"/>
      <c r="I57" s="1091"/>
      <c r="J57" s="1091"/>
      <c r="K57" s="1091"/>
      <c r="L57" s="1091"/>
      <c r="M57" s="1091"/>
      <c r="N57" s="1091"/>
      <c r="O57" s="1091"/>
      <c r="P57" s="1091"/>
      <c r="Q57" s="1091"/>
      <c r="R57" s="1091"/>
      <c r="S57" s="1091"/>
      <c r="T57" s="1589">
        <f t="shared" ref="T57:AE57" si="410">(T55*1000000)/CK107</f>
        <v>3.2708117222107771</v>
      </c>
      <c r="U57" s="1589">
        <f t="shared" si="410"/>
        <v>5.6630996347368399</v>
      </c>
      <c r="V57" s="1589">
        <f t="shared" si="410"/>
        <v>2.9058864474186317</v>
      </c>
      <c r="W57" s="1589">
        <f t="shared" si="410"/>
        <v>1.1758703298857236</v>
      </c>
      <c r="X57" s="1589">
        <f t="shared" si="410"/>
        <v>6.9470959719683405</v>
      </c>
      <c r="Y57" s="1589">
        <f t="shared" si="410"/>
        <v>1.4056380954955197</v>
      </c>
      <c r="Z57" s="1589">
        <f t="shared" si="410"/>
        <v>2.3787721616078463</v>
      </c>
      <c r="AA57" s="1589">
        <f t="shared" si="410"/>
        <v>-0.17570476193692844</v>
      </c>
      <c r="AB57" s="1589">
        <f t="shared" si="410"/>
        <v>4.054725275467896</v>
      </c>
      <c r="AC57" s="1589">
        <f t="shared" si="410"/>
        <v>9.0150058624569684</v>
      </c>
      <c r="AD57" s="1589" t="e">
        <f t="shared" si="410"/>
        <v>#DIV/0!</v>
      </c>
      <c r="AE57" s="1589" t="e">
        <f t="shared" si="410"/>
        <v>#DIV/0!</v>
      </c>
      <c r="AU57" s="367"/>
      <c r="AV57" s="1183" t="str">
        <f>BP57</f>
        <v>Periodens totalresultat per aktie, kr*</v>
      </c>
      <c r="AW57" s="1182"/>
      <c r="AX57" s="1232">
        <f t="shared" ref="AX57:BC57" si="411">(AX55*1000000)/AX96</f>
        <v>9.0150058624569684</v>
      </c>
      <c r="AY57" s="1233">
        <f t="shared" si="411"/>
        <v>1.4056380954955197</v>
      </c>
      <c r="AZ57" s="1232">
        <f t="shared" si="411"/>
        <v>13.069731137924865</v>
      </c>
      <c r="BA57" s="1233">
        <f t="shared" si="411"/>
        <v>8.3527340674638602</v>
      </c>
      <c r="BB57" s="1232">
        <f t="shared" si="411"/>
        <v>15.272798537595783</v>
      </c>
      <c r="BC57" s="1233">
        <f t="shared" si="411"/>
        <v>10.555801467134778</v>
      </c>
      <c r="BD57" s="367"/>
      <c r="BE57" s="1183" t="s">
        <v>391</v>
      </c>
      <c r="BF57" s="1182"/>
      <c r="BG57" s="1232">
        <f t="shared" si="400"/>
        <v>9.0150058624569684</v>
      </c>
      <c r="BH57" s="1233">
        <f t="shared" si="401"/>
        <v>1.4056380954955197</v>
      </c>
      <c r="BI57" s="1232">
        <f t="shared" si="402"/>
        <v>13.069731137924865</v>
      </c>
      <c r="BJ57" s="1233">
        <f t="shared" si="403"/>
        <v>8.3527340674638602</v>
      </c>
      <c r="BK57" s="1232">
        <f t="shared" si="404"/>
        <v>15.272798537595783</v>
      </c>
      <c r="BL57" s="1233">
        <f t="shared" si="405"/>
        <v>10.555801467134778</v>
      </c>
      <c r="BN57" s="242"/>
      <c r="BP57" s="354" t="str">
        <f t="shared" si="307"/>
        <v>Periodens totalresultat per aktie, kr*</v>
      </c>
      <c r="BQ57" s="353"/>
      <c r="BR57" s="354"/>
      <c r="BS57" s="354"/>
      <c r="BT57" s="354"/>
      <c r="BU57" s="354"/>
      <c r="BV57" s="354"/>
      <c r="BW57" s="354"/>
      <c r="BX57" s="354"/>
      <c r="BY57" s="354"/>
      <c r="BZ57" s="354"/>
      <c r="CA57" s="354"/>
      <c r="CB57" s="354"/>
      <c r="CE57" s="1072"/>
      <c r="CF57" s="281">
        <f t="shared" si="36"/>
        <v>47</v>
      </c>
      <c r="CH57" s="2130"/>
      <c r="CI57" s="2122" t="s">
        <v>881</v>
      </c>
      <c r="CJ57" s="2123"/>
      <c r="CK57" s="2124">
        <f t="shared" ref="CK57:CV57" si="412">(CK55*1000000)/CK107</f>
        <v>0.77001733395055438</v>
      </c>
      <c r="CL57" s="2124">
        <f t="shared" si="412"/>
        <v>3.2298299380640771</v>
      </c>
      <c r="CM57" s="2124">
        <f t="shared" si="412"/>
        <v>0.41520184084525569</v>
      </c>
      <c r="CN57" s="2124">
        <f t="shared" si="412"/>
        <v>-0.68795374910033313</v>
      </c>
      <c r="CO57" s="2124">
        <f t="shared" si="412"/>
        <v>4.3882061557487626</v>
      </c>
      <c r="CP57" s="2124">
        <f t="shared" si="412"/>
        <v>-0.89261398001698422</v>
      </c>
      <c r="CQ57" s="2124">
        <f t="shared" si="412"/>
        <v>-0.61859564590083316</v>
      </c>
      <c r="CR57" s="2124">
        <f t="shared" si="412"/>
        <v>-2.5000152052197708</v>
      </c>
      <c r="CS57" s="2124">
        <f t="shared" si="412"/>
        <v>1.5332389823991106</v>
      </c>
      <c r="CT57" s="2124">
        <f t="shared" si="412"/>
        <v>6.2086017839439762</v>
      </c>
      <c r="CU57" s="2124" t="e">
        <f t="shared" si="412"/>
        <v>#DIV/0!</v>
      </c>
      <c r="CV57" s="2124" t="e">
        <f t="shared" si="412"/>
        <v>#DIV/0!</v>
      </c>
      <c r="CW57" s="2129"/>
      <c r="CX57" s="1008"/>
      <c r="CY57" s="1008"/>
      <c r="CZ57" s="1008"/>
      <c r="DA57" s="1008"/>
      <c r="DB57" s="1008"/>
      <c r="DC57" s="1008"/>
      <c r="DD57" s="1008"/>
      <c r="DE57" s="1008"/>
      <c r="DF57" s="1008"/>
      <c r="DG57" s="1008"/>
      <c r="DH57" s="1008"/>
      <c r="DI57" s="1008"/>
      <c r="DJ57" s="244"/>
      <c r="DK57" s="1642" t="str">
        <f t="shared" si="73"/>
        <v>Periodens totalresultat per aktie, kr*</v>
      </c>
      <c r="DL57" s="1625">
        <f t="shared" si="38"/>
        <v>-2.5007943882602226</v>
      </c>
      <c r="DM57" s="1625">
        <f t="shared" si="39"/>
        <v>-2.4332696966727627</v>
      </c>
      <c r="DN57" s="1625">
        <f t="shared" si="40"/>
        <v>-2.4906846065733759</v>
      </c>
      <c r="DO57" s="1625">
        <f t="shared" si="41"/>
        <v>-1.8638240789860567</v>
      </c>
      <c r="DP57" s="1625">
        <f t="shared" si="42"/>
        <v>-2.5588898162195779</v>
      </c>
      <c r="DQ57" s="1625">
        <f t="shared" si="43"/>
        <v>-2.298252075512504</v>
      </c>
      <c r="DR57" s="1625">
        <f t="shared" si="44"/>
        <v>-2.9973678075086796</v>
      </c>
      <c r="DS57" s="1625">
        <f t="shared" si="45"/>
        <v>-2.3243104432828425</v>
      </c>
      <c r="DT57" s="1625">
        <f t="shared" si="46"/>
        <v>-2.5214862930687856</v>
      </c>
      <c r="DU57" s="1661">
        <f t="shared" si="47"/>
        <v>-2.8064040785129922</v>
      </c>
      <c r="DV57" s="1625" t="e">
        <f t="shared" si="48"/>
        <v>#DIV/0!</v>
      </c>
      <c r="DW57" s="1625" t="e">
        <f t="shared" si="49"/>
        <v>#DIV/0!</v>
      </c>
      <c r="DX57" s="366"/>
      <c r="DY57" s="1183" t="str">
        <f>CI57</f>
        <v>Periodens totalresultat per aktie, kr*</v>
      </c>
      <c r="DZ57" s="1182"/>
      <c r="EA57" s="1232">
        <f t="shared" ref="EA57:EF57" si="413">(EA55*1000000)/EA96</f>
        <v>6.2788458996523184</v>
      </c>
      <c r="EB57" s="1233">
        <f t="shared" si="413"/>
        <v>-0.64823912260675398</v>
      </c>
      <c r="EC57" s="1232">
        <f t="shared" si="413"/>
        <v>7.9251139493574527</v>
      </c>
      <c r="ED57" s="1233">
        <f t="shared" si="413"/>
        <v>3.5992001886380494</v>
      </c>
      <c r="EE57" s="1232">
        <f t="shared" si="413"/>
        <v>5.0830968586904399</v>
      </c>
      <c r="EF57" s="1233">
        <f t="shared" si="413"/>
        <v>1.7215355981841693</v>
      </c>
      <c r="EG57" s="367"/>
      <c r="EH57" s="242"/>
      <c r="EI57" s="242"/>
      <c r="EK57" s="1183" t="s">
        <v>391</v>
      </c>
      <c r="EL57" s="1182"/>
      <c r="EM57" s="1232">
        <f t="shared" si="74"/>
        <v>6.2788458996523184</v>
      </c>
      <c r="EN57" s="1233">
        <f t="shared" si="75"/>
        <v>-0.64823912260675398</v>
      </c>
      <c r="EO57" s="1232">
        <f t="shared" si="76"/>
        <v>7.9251139493574527</v>
      </c>
      <c r="EP57" s="1233">
        <f t="shared" si="77"/>
        <v>3.5992001886380494</v>
      </c>
      <c r="EQ57" s="1232">
        <f t="shared" si="78"/>
        <v>5.0830968586904399</v>
      </c>
      <c r="ER57" s="1233">
        <f t="shared" si="79"/>
        <v>1.7215355981841693</v>
      </c>
      <c r="ET57" s="242"/>
      <c r="EU57" s="242"/>
      <c r="EW57" s="310"/>
      <c r="EX57" s="310"/>
      <c r="EY57" s="310"/>
      <c r="EZ57" s="310"/>
      <c r="FA57" s="310"/>
      <c r="FB57" s="310"/>
      <c r="FC57" s="310"/>
      <c r="FD57" s="310"/>
      <c r="FE57" s="310"/>
      <c r="FF57" s="310"/>
      <c r="FG57" s="310"/>
      <c r="FH57" s="310"/>
      <c r="FI57" s="310"/>
      <c r="FJ57" s="310"/>
      <c r="FK57" s="310"/>
      <c r="FL57" s="310"/>
      <c r="FM57" s="310"/>
      <c r="FN57" s="257"/>
      <c r="FO57" s="257"/>
      <c r="FP57" s="257"/>
      <c r="FQ57" s="257"/>
      <c r="FR57" s="257"/>
      <c r="FS57" s="257"/>
      <c r="FT57" s="257"/>
      <c r="FU57" s="257"/>
      <c r="FV57" s="257"/>
      <c r="FW57" s="257"/>
      <c r="FX57" s="257"/>
      <c r="FY57" s="257"/>
      <c r="FZ57" s="257"/>
      <c r="GA57" s="257"/>
      <c r="GB57" s="257"/>
      <c r="GC57" s="257"/>
      <c r="GD57" s="257"/>
      <c r="GE57" s="257"/>
      <c r="GF57" s="257"/>
      <c r="GG57" s="257"/>
      <c r="GH57" s="257"/>
      <c r="GI57" s="257"/>
      <c r="GJ57" s="257"/>
      <c r="GK57" s="257"/>
      <c r="GL57" s="257"/>
      <c r="GM57" s="257"/>
      <c r="GN57" s="257"/>
      <c r="GO57" s="257"/>
      <c r="GP57" s="257"/>
      <c r="GQ57" s="257"/>
      <c r="GR57" s="257"/>
      <c r="GS57" s="310"/>
      <c r="GT57" s="890"/>
      <c r="GU57" s="412" t="s">
        <v>252</v>
      </c>
      <c r="GV57" s="242"/>
      <c r="GW57" s="1992">
        <f t="shared" ref="GW57:HH57" si="414">T$35</f>
        <v>27.500000000000043</v>
      </c>
      <c r="GX57" s="1992">
        <f t="shared" si="414"/>
        <v>41.600000000000051</v>
      </c>
      <c r="GY57" s="1992">
        <f t="shared" si="414"/>
        <v>18.799999999999816</v>
      </c>
      <c r="GZ57" s="1992">
        <f t="shared" si="414"/>
        <v>12.20000000000023</v>
      </c>
      <c r="HA57" s="1992">
        <f t="shared" si="414"/>
        <v>43.400000000000105</v>
      </c>
      <c r="HB57" s="1992">
        <f t="shared" si="414"/>
        <v>18.099999999999856</v>
      </c>
      <c r="HC57" s="1992">
        <f t="shared" si="414"/>
        <v>17.700000000000092</v>
      </c>
      <c r="HD57" s="1992">
        <f t="shared" si="414"/>
        <v>-1.0999999999999055</v>
      </c>
      <c r="HE57" s="1992">
        <f t="shared" si="414"/>
        <v>33.999999999999986</v>
      </c>
      <c r="HF57" s="1992">
        <f t="shared" si="414"/>
        <v>70.000000000000071</v>
      </c>
      <c r="HG57" s="1992">
        <f t="shared" si="414"/>
        <v>-24.800000000000047</v>
      </c>
      <c r="HH57" s="1992">
        <f t="shared" si="414"/>
        <v>-1.0999999999999055</v>
      </c>
      <c r="HJ57" s="1203">
        <f t="shared" si="408"/>
        <v>70.000000000000071</v>
      </c>
      <c r="HK57" s="1204">
        <f t="shared" si="409"/>
        <v>18.099999999999856</v>
      </c>
      <c r="HL57" s="1203">
        <f>SUM(HE57:HF57)</f>
        <v>104.00000000000006</v>
      </c>
      <c r="HM57" s="1204">
        <f>SUM(HA57:HB57)</f>
        <v>61.499999999999957</v>
      </c>
      <c r="HN57" s="1203">
        <f>SUM(HC57:HF57)</f>
        <v>120.60000000000025</v>
      </c>
      <c r="HO57" s="2017">
        <f>SUM(HA57:HD57)</f>
        <v>78.100000000000136</v>
      </c>
      <c r="HP57" s="1999"/>
      <c r="HQ57" s="310"/>
      <c r="HR57" s="310"/>
      <c r="HS57" s="310"/>
      <c r="HT57" s="310"/>
      <c r="HU57" s="310"/>
      <c r="HV57" s="310"/>
      <c r="HW57" s="310"/>
      <c r="HX57" s="310"/>
      <c r="HY57" s="310"/>
      <c r="HZ57" s="1"/>
      <c r="IA57" s="412" t="s">
        <v>916</v>
      </c>
      <c r="IB57" s="2066">
        <f t="shared" si="398"/>
        <v>70.000000000000071</v>
      </c>
      <c r="IC57" s="2067">
        <f t="shared" si="398"/>
        <v>18.099999999999856</v>
      </c>
      <c r="ID57" s="1203">
        <f t="shared" si="398"/>
        <v>104.00000000000006</v>
      </c>
      <c r="IE57" s="1204">
        <f t="shared" si="398"/>
        <v>61.499999999999957</v>
      </c>
      <c r="IF57" s="1203">
        <f t="shared" si="398"/>
        <v>120.60000000000025</v>
      </c>
      <c r="IG57" s="2017">
        <f t="shared" si="398"/>
        <v>78.100000000000136</v>
      </c>
      <c r="IH57" s="1219"/>
      <c r="II57" s="242"/>
      <c r="IJ57" s="242"/>
      <c r="IK57" s="242"/>
      <c r="IL57" s="242"/>
      <c r="IM57" s="242"/>
      <c r="IN57" s="1183" t="str">
        <f t="shared" si="348"/>
        <v>Periodens totalresulat per aktie, kr*</v>
      </c>
      <c r="IO57" s="1242"/>
      <c r="IP57" s="1242"/>
      <c r="IQ57" s="1242"/>
      <c r="IR57" s="242"/>
      <c r="IS57" s="242"/>
      <c r="IT57" s="1678">
        <f t="shared" si="174"/>
        <v>1</v>
      </c>
      <c r="IU57" s="264">
        <f t="shared" si="349"/>
        <v>47</v>
      </c>
      <c r="IV57" s="242"/>
      <c r="IW57" s="242"/>
      <c r="IX57" s="1183" t="s">
        <v>403</v>
      </c>
      <c r="IY57" s="1183"/>
      <c r="IZ57" s="1232">
        <f>AX57</f>
        <v>9.0150058624569684</v>
      </c>
      <c r="JA57" s="1242">
        <f t="shared" si="86"/>
        <v>-2.73615996280465</v>
      </c>
      <c r="JB57" s="1232">
        <f>SUM(EA57)</f>
        <v>6.2788458996523184</v>
      </c>
      <c r="JC57" s="242"/>
      <c r="JD57" s="242"/>
      <c r="JE57" s="242"/>
      <c r="JF57" s="1183" t="str">
        <f t="shared" si="350"/>
        <v>Periodens totalresulat per aktie, kr*</v>
      </c>
      <c r="JG57" s="1232">
        <f t="shared" si="399"/>
        <v>9.0150058624569684</v>
      </c>
      <c r="JH57" s="1242">
        <f t="shared" si="399"/>
        <v>-2.73615996280465</v>
      </c>
      <c r="JI57" s="1232">
        <f t="shared" si="399"/>
        <v>6.2788458996523184</v>
      </c>
      <c r="JJ57" s="443"/>
      <c r="JK57" s="242"/>
      <c r="JL57" s="242"/>
      <c r="JM57" s="1183" t="s">
        <v>404</v>
      </c>
      <c r="JN57" s="1232">
        <f>$JG57</f>
        <v>9.0150058624569684</v>
      </c>
      <c r="JO57" s="1242">
        <f>$JH57</f>
        <v>-2.73615996280465</v>
      </c>
      <c r="JP57" s="1232">
        <f>$JI57</f>
        <v>6.2788458996523184</v>
      </c>
      <c r="JQ57" s="242"/>
    </row>
    <row r="58" spans="2:277" s="269" customFormat="1" ht="11.25" customHeight="1" outlineLevel="1" x14ac:dyDescent="0.35">
      <c r="B58" s="264">
        <f t="shared" si="27"/>
        <v>49</v>
      </c>
      <c r="T58" s="282"/>
      <c r="U58" s="282"/>
      <c r="V58" s="282"/>
      <c r="W58" s="282"/>
      <c r="X58" s="282"/>
      <c r="Y58" s="282"/>
      <c r="Z58" s="282"/>
      <c r="AA58" s="282"/>
      <c r="AB58" s="282"/>
      <c r="AC58" s="282"/>
      <c r="AD58" s="282"/>
      <c r="AE58" s="282"/>
      <c r="BP58" s="322" t="str">
        <f t="shared" si="307"/>
        <v>*Ingen utspädning finns</v>
      </c>
      <c r="BQ58" s="392"/>
      <c r="BR58" s="322"/>
      <c r="BS58" s="322"/>
      <c r="BT58" s="322"/>
      <c r="BU58" s="322"/>
      <c r="BV58" s="322"/>
      <c r="BW58" s="322"/>
      <c r="BX58" s="322"/>
      <c r="BY58" s="322"/>
      <c r="BZ58" s="322"/>
      <c r="CA58" s="322"/>
      <c r="CB58" s="322"/>
      <c r="CE58" s="393"/>
      <c r="CF58" s="281">
        <f t="shared" si="36"/>
        <v>48</v>
      </c>
      <c r="CG58" s="393"/>
      <c r="CH58" s="393"/>
      <c r="CI58" s="322" t="s">
        <v>405</v>
      </c>
      <c r="CJ58" s="392"/>
      <c r="CK58" s="392"/>
      <c r="CL58" s="392"/>
      <c r="CM58" s="392"/>
      <c r="CN58" s="392"/>
      <c r="CO58" s="392"/>
      <c r="CP58" s="392"/>
      <c r="CQ58" s="392"/>
      <c r="CR58" s="392"/>
      <c r="CS58" s="392"/>
      <c r="CT58" s="392"/>
      <c r="CU58" s="392"/>
      <c r="CV58" s="392"/>
      <c r="CW58" s="394"/>
      <c r="CX58" s="1008"/>
      <c r="CY58" s="1008"/>
      <c r="CZ58" s="1008"/>
      <c r="DA58" s="1008"/>
      <c r="DB58" s="1008"/>
      <c r="DC58" s="1008"/>
      <c r="DD58" s="1008"/>
      <c r="DE58" s="1008"/>
      <c r="DF58" s="1008"/>
      <c r="DG58" s="1008"/>
      <c r="DH58" s="1008"/>
      <c r="DI58" s="1008"/>
      <c r="DJ58" s="244"/>
      <c r="DK58" s="1642" t="str">
        <f t="shared" si="73"/>
        <v>*Ingen utspädning finns</v>
      </c>
      <c r="DL58" s="1625">
        <f t="shared" si="38"/>
        <v>0</v>
      </c>
      <c r="DM58" s="1625">
        <f t="shared" si="39"/>
        <v>0</v>
      </c>
      <c r="DN58" s="1625">
        <f t="shared" si="40"/>
        <v>0</v>
      </c>
      <c r="DO58" s="1625">
        <f t="shared" si="41"/>
        <v>0</v>
      </c>
      <c r="DP58" s="1625">
        <f t="shared" si="42"/>
        <v>0</v>
      </c>
      <c r="DQ58" s="1625">
        <f t="shared" si="43"/>
        <v>0</v>
      </c>
      <c r="DR58" s="1625">
        <f t="shared" si="44"/>
        <v>0</v>
      </c>
      <c r="DS58" s="1625">
        <f t="shared" si="45"/>
        <v>0</v>
      </c>
      <c r="DT58" s="1625">
        <f t="shared" si="46"/>
        <v>0</v>
      </c>
      <c r="DU58" s="1661">
        <f t="shared" si="47"/>
        <v>0</v>
      </c>
      <c r="DV58" s="1625">
        <f t="shared" si="48"/>
        <v>0</v>
      </c>
      <c r="DW58" s="1625">
        <f t="shared" si="49"/>
        <v>0</v>
      </c>
      <c r="DX58" s="394"/>
      <c r="DY58" s="1662" t="str">
        <f t="shared" si="308"/>
        <v>*Ingen utspädning finns</v>
      </c>
      <c r="DZ58" s="1664"/>
      <c r="EA58" s="1665"/>
      <c r="EB58" s="1665"/>
      <c r="EC58" s="1665"/>
      <c r="ED58" s="1665"/>
      <c r="EE58" s="1665"/>
      <c r="EF58" s="1665"/>
      <c r="EH58" s="242"/>
      <c r="EI58" s="242"/>
      <c r="EK58" s="1667" t="s">
        <v>823</v>
      </c>
      <c r="EL58" s="393"/>
      <c r="EM58" s="1666"/>
      <c r="EN58" s="1666"/>
      <c r="EO58" s="1666"/>
      <c r="EP58" s="1666"/>
      <c r="EQ58" s="1666"/>
      <c r="ER58" s="1666"/>
      <c r="ET58" s="242"/>
      <c r="EU58" s="250"/>
      <c r="EV58" s="242"/>
      <c r="EW58" s="310"/>
      <c r="EX58" s="310"/>
      <c r="EY58" s="310"/>
      <c r="EZ58" s="310"/>
      <c r="FA58" s="310"/>
      <c r="FB58" s="310"/>
      <c r="FC58" s="310"/>
      <c r="FD58" s="310"/>
      <c r="FE58" s="310"/>
      <c r="FF58" s="310"/>
      <c r="FG58" s="310"/>
      <c r="FH58" s="310"/>
      <c r="FI58" s="310"/>
      <c r="FJ58" s="310"/>
      <c r="FK58" s="310"/>
      <c r="FL58" s="310"/>
      <c r="FM58" s="310"/>
      <c r="FN58" s="259"/>
      <c r="FO58" s="259"/>
      <c r="FP58" s="259"/>
      <c r="FQ58" s="259"/>
      <c r="FR58" s="259"/>
      <c r="FS58" s="259"/>
      <c r="FT58" s="259"/>
      <c r="FU58" s="259"/>
      <c r="FV58" s="259"/>
      <c r="FW58" s="259"/>
      <c r="FX58" s="259"/>
      <c r="FY58" s="259"/>
      <c r="FZ58" s="259"/>
      <c r="GA58" s="259"/>
      <c r="GB58" s="259"/>
      <c r="GC58" s="259"/>
      <c r="GD58" s="259"/>
      <c r="GE58" s="259"/>
      <c r="GF58" s="259"/>
      <c r="GG58" s="259"/>
      <c r="GH58" s="259"/>
      <c r="GI58" s="259"/>
      <c r="GJ58" s="259"/>
      <c r="GK58" s="259"/>
      <c r="GL58" s="259"/>
      <c r="GM58" s="259"/>
      <c r="GN58" s="259"/>
      <c r="GO58" s="259"/>
      <c r="GP58" s="259"/>
      <c r="GQ58" s="259"/>
      <c r="GR58" s="259"/>
      <c r="GS58" s="310"/>
      <c r="GT58" s="890"/>
      <c r="GU58" s="412" t="s">
        <v>27</v>
      </c>
      <c r="GV58" s="242"/>
      <c r="GW58" s="1992">
        <f t="shared" ref="GW58:HH58" si="415">T$31</f>
        <v>0</v>
      </c>
      <c r="GX58" s="1992">
        <f t="shared" si="415"/>
        <v>0</v>
      </c>
      <c r="GY58" s="1992">
        <f t="shared" si="415"/>
        <v>0</v>
      </c>
      <c r="GZ58" s="1992">
        <f t="shared" si="415"/>
        <v>0</v>
      </c>
      <c r="HA58" s="1992">
        <f t="shared" si="415"/>
        <v>46.100000000000101</v>
      </c>
      <c r="HB58" s="1992">
        <f t="shared" si="415"/>
        <v>25.599999999999852</v>
      </c>
      <c r="HC58" s="1992">
        <f t="shared" si="415"/>
        <v>24.200000000000095</v>
      </c>
      <c r="HD58" s="1992">
        <f t="shared" si="415"/>
        <v>14.300000000000093</v>
      </c>
      <c r="HE58" s="1992">
        <f t="shared" si="415"/>
        <v>36.799999999999983</v>
      </c>
      <c r="HF58" s="1992">
        <f t="shared" si="415"/>
        <v>70.600000000000065</v>
      </c>
      <c r="HG58" s="1992">
        <f t="shared" si="415"/>
        <v>-11.500000000000046</v>
      </c>
      <c r="HH58" s="1992">
        <f t="shared" si="415"/>
        <v>14.300000000000093</v>
      </c>
      <c r="HJ58" s="1203">
        <f t="shared" si="408"/>
        <v>70.600000000000065</v>
      </c>
      <c r="HK58" s="1204">
        <f t="shared" si="409"/>
        <v>25.599999999999852</v>
      </c>
      <c r="HL58" s="1203">
        <f>SUM(HE58:HF58)</f>
        <v>107.40000000000005</v>
      </c>
      <c r="HM58" s="1204">
        <f>SUM(HA58:HB58)</f>
        <v>71.69999999999996</v>
      </c>
      <c r="HN58" s="1203">
        <f>SUM(HC58:HF58)</f>
        <v>145.90000000000023</v>
      </c>
      <c r="HO58" s="2017">
        <f>SUM(HA58:HD58)</f>
        <v>110.20000000000016</v>
      </c>
      <c r="HP58" s="1999"/>
      <c r="HQ58" s="310"/>
      <c r="HR58" s="310"/>
      <c r="HS58" s="310"/>
      <c r="HT58" s="310"/>
      <c r="HU58" s="310"/>
      <c r="HV58" s="310"/>
      <c r="HW58" s="310"/>
      <c r="HX58" s="310"/>
      <c r="HY58" s="310"/>
      <c r="HZ58" s="2"/>
      <c r="IA58" s="412" t="s">
        <v>258</v>
      </c>
      <c r="IB58" s="2066">
        <f t="shared" si="398"/>
        <v>70.600000000000065</v>
      </c>
      <c r="IC58" s="2067">
        <f t="shared" si="398"/>
        <v>25.599999999999852</v>
      </c>
      <c r="ID58" s="1203">
        <f t="shared" si="398"/>
        <v>107.40000000000005</v>
      </c>
      <c r="IE58" s="1204">
        <f t="shared" si="398"/>
        <v>71.69999999999996</v>
      </c>
      <c r="IF58" s="1203">
        <f t="shared" si="398"/>
        <v>145.90000000000023</v>
      </c>
      <c r="IG58" s="2017">
        <f t="shared" si="398"/>
        <v>110.20000000000016</v>
      </c>
      <c r="IH58" s="1220"/>
      <c r="II58" s="242"/>
      <c r="IJ58" s="242"/>
      <c r="IK58" s="242"/>
      <c r="IL58" s="242"/>
      <c r="IM58" s="242"/>
      <c r="IN58" s="242"/>
      <c r="IO58" s="242"/>
      <c r="IP58" s="242"/>
      <c r="IQ58" s="242"/>
      <c r="IR58" s="242"/>
      <c r="IS58" s="242"/>
      <c r="IT58" s="242"/>
      <c r="IU58" s="242"/>
      <c r="IV58" s="242"/>
      <c r="IW58" s="242"/>
      <c r="IX58" s="242"/>
      <c r="IY58" s="242"/>
      <c r="IZ58" s="242"/>
      <c r="JA58" s="242"/>
      <c r="JB58" s="242"/>
      <c r="JC58" s="242"/>
      <c r="JD58" s="242"/>
      <c r="JE58" s="242"/>
      <c r="JF58" s="242"/>
      <c r="JG58" s="243"/>
      <c r="JH58" s="243"/>
      <c r="JI58" s="243"/>
      <c r="JJ58" s="242"/>
      <c r="JK58" s="242"/>
      <c r="JL58" s="242"/>
      <c r="JM58" s="242"/>
      <c r="JN58" s="243"/>
      <c r="JO58" s="243"/>
      <c r="JP58" s="243"/>
      <c r="JQ58" s="242"/>
    </row>
    <row r="59" spans="2:277" s="250" customFormat="1" ht="11.25" customHeight="1" outlineLevel="1" x14ac:dyDescent="0.35">
      <c r="BP59" s="242"/>
      <c r="BR59" s="242"/>
      <c r="BS59" s="242"/>
      <c r="BT59" s="242"/>
      <c r="BU59" s="242"/>
      <c r="BV59" s="242"/>
      <c r="BW59" s="242"/>
      <c r="BX59" s="242"/>
      <c r="BY59" s="242"/>
      <c r="BZ59" s="242"/>
      <c r="CA59" s="242"/>
      <c r="CB59" s="242"/>
      <c r="CC59" s="269"/>
      <c r="CD59" s="269"/>
      <c r="CE59" s="242"/>
      <c r="CF59" s="242"/>
      <c r="CG59" s="242"/>
      <c r="CH59" s="242"/>
      <c r="CI59" s="242"/>
      <c r="CJ59" s="243"/>
      <c r="CK59" s="244"/>
      <c r="CL59" s="244"/>
      <c r="CM59" s="244"/>
      <c r="CN59" s="244"/>
      <c r="CO59" s="244"/>
      <c r="CP59" s="244"/>
      <c r="CQ59" s="244"/>
      <c r="CR59" s="244"/>
      <c r="CS59" s="244"/>
      <c r="CT59" s="244"/>
      <c r="CU59" s="244"/>
      <c r="CV59" s="244"/>
      <c r="CW59" s="244"/>
      <c r="CX59" s="244"/>
      <c r="CY59" s="244"/>
      <c r="CZ59" s="244"/>
      <c r="DA59" s="244"/>
      <c r="DB59" s="244"/>
      <c r="DC59" s="244"/>
      <c r="DD59" s="244"/>
      <c r="DE59" s="244"/>
      <c r="DF59" s="244"/>
      <c r="DG59" s="244"/>
      <c r="DH59" s="244"/>
      <c r="DI59" s="244"/>
      <c r="DJ59" s="244"/>
      <c r="DK59" s="244"/>
      <c r="DL59" s="244"/>
      <c r="DM59" s="244"/>
      <c r="DN59" s="244"/>
      <c r="DO59" s="244"/>
      <c r="DP59" s="244"/>
      <c r="DQ59" s="244"/>
      <c r="DR59" s="244"/>
      <c r="DS59" s="244"/>
      <c r="DT59" s="244"/>
      <c r="DU59" s="244"/>
      <c r="DV59" s="244"/>
      <c r="DW59" s="244"/>
      <c r="DX59" s="244"/>
      <c r="EG59" s="242"/>
      <c r="EH59" s="242"/>
      <c r="EI59" s="242"/>
      <c r="EJ59" s="242"/>
      <c r="EK59" s="242"/>
      <c r="EL59" s="242"/>
      <c r="ES59" s="242"/>
      <c r="ET59" s="242"/>
      <c r="EU59" s="242"/>
      <c r="EW59" s="259"/>
      <c r="EX59" s="257"/>
      <c r="EY59" s="257"/>
      <c r="EZ59" s="257"/>
      <c r="FA59" s="257"/>
      <c r="FB59" s="257"/>
      <c r="FC59" s="257"/>
      <c r="FD59" s="257"/>
      <c r="FE59" s="257"/>
      <c r="FF59" s="257"/>
      <c r="FG59" s="257"/>
      <c r="FH59" s="257"/>
      <c r="FI59" s="257"/>
      <c r="FJ59" s="257"/>
      <c r="FK59" s="257"/>
      <c r="FL59" s="257"/>
      <c r="FM59" s="257"/>
      <c r="FN59" s="259"/>
      <c r="FO59" s="259"/>
      <c r="FP59" s="259"/>
      <c r="FQ59" s="259"/>
      <c r="FR59" s="259"/>
      <c r="FS59" s="259"/>
      <c r="FT59" s="259"/>
      <c r="FU59" s="259"/>
      <c r="FV59" s="259"/>
      <c r="FW59" s="259"/>
      <c r="FX59" s="259"/>
      <c r="FY59" s="259"/>
      <c r="FZ59" s="259"/>
      <c r="GA59" s="259"/>
      <c r="GB59" s="259"/>
      <c r="GC59" s="259"/>
      <c r="GD59" s="259"/>
      <c r="GE59" s="259"/>
      <c r="GF59" s="259"/>
      <c r="GG59" s="259"/>
      <c r="GH59" s="259"/>
      <c r="GI59" s="259"/>
      <c r="GJ59" s="259"/>
      <c r="GK59" s="259"/>
      <c r="GL59" s="259"/>
      <c r="GM59" s="259"/>
      <c r="GN59" s="259"/>
      <c r="GO59" s="259"/>
      <c r="GP59" s="259"/>
      <c r="GQ59" s="259"/>
      <c r="GR59" s="259"/>
      <c r="GS59" s="310"/>
      <c r="GT59" s="890"/>
      <c r="GU59" s="412" t="s">
        <v>325</v>
      </c>
      <c r="GV59" s="242"/>
      <c r="GW59" s="1993">
        <f>GW56/GW$12</f>
        <v>7.5017205781142529E-2</v>
      </c>
      <c r="GX59" s="1993">
        <f t="shared" ref="GX59:HH59" si="416">GX56/GX$12</f>
        <v>9.0818858560794122E-2</v>
      </c>
      <c r="GY59" s="1993">
        <f t="shared" si="416"/>
        <v>6.6521910777733562E-2</v>
      </c>
      <c r="GZ59" s="1993">
        <f t="shared" si="416"/>
        <v>4.9352890422778635E-2</v>
      </c>
      <c r="HA59" s="1993">
        <f t="shared" si="416"/>
        <v>8.9899937460913223E-2</v>
      </c>
      <c r="HB59" s="1993">
        <f t="shared" si="416"/>
        <v>6.0119047619047405E-2</v>
      </c>
      <c r="HC59" s="1993">
        <f t="shared" si="416"/>
        <v>5.8457211731619288E-2</v>
      </c>
      <c r="HD59" s="1993">
        <f t="shared" si="416"/>
        <v>4.1506533435818775E-2</v>
      </c>
      <c r="HE59" s="1993">
        <f t="shared" si="416"/>
        <v>8.2677165354330687E-2</v>
      </c>
      <c r="HF59" s="1993">
        <f t="shared" si="416"/>
        <v>0.1349496129691837</v>
      </c>
      <c r="HG59" s="1993">
        <f t="shared" si="416"/>
        <v>-3.0673655600854284E-2</v>
      </c>
      <c r="HH59" s="1993">
        <f t="shared" si="416"/>
        <v>4.1506533435818775E-2</v>
      </c>
      <c r="HI59" s="269"/>
      <c r="HJ59" s="926">
        <f t="shared" ref="HJ59:HO59" si="417">HJ56/HJ12</f>
        <v>0.1349496129691837</v>
      </c>
      <c r="HK59" s="2068">
        <f t="shared" si="417"/>
        <v>6.0119047619047405E-2</v>
      </c>
      <c r="HL59" s="2065">
        <f t="shared" si="417"/>
        <v>0.11032990805840999</v>
      </c>
      <c r="HM59" s="2068">
        <f t="shared" si="417"/>
        <v>7.4641659042390937E-2</v>
      </c>
      <c r="HN59" s="2065">
        <f t="shared" si="417"/>
        <v>8.367567567567577E-2</v>
      </c>
      <c r="HO59" s="2069">
        <f t="shared" si="417"/>
        <v>6.3782298909777713E-2</v>
      </c>
      <c r="HP59" s="1999"/>
      <c r="HQ59" s="310"/>
      <c r="HR59" s="310"/>
      <c r="HS59" s="310"/>
      <c r="HT59" s="310"/>
      <c r="HU59" s="310"/>
      <c r="HV59" s="310"/>
      <c r="HW59" s="310"/>
      <c r="HX59" s="310"/>
      <c r="HY59" s="310"/>
      <c r="HZ59" s="2"/>
      <c r="IA59" s="412" t="s">
        <v>326</v>
      </c>
      <c r="IB59" s="926">
        <f t="shared" si="398"/>
        <v>0.1349496129691837</v>
      </c>
      <c r="IC59" s="2068">
        <f t="shared" si="398"/>
        <v>6.0119047619047405E-2</v>
      </c>
      <c r="ID59" s="2065">
        <f t="shared" si="398"/>
        <v>0.11032990805840999</v>
      </c>
      <c r="IE59" s="2068">
        <f t="shared" si="398"/>
        <v>7.4641659042390937E-2</v>
      </c>
      <c r="IF59" s="2065">
        <f t="shared" si="398"/>
        <v>8.367567567567577E-2</v>
      </c>
      <c r="IG59" s="2069">
        <f t="shared" si="398"/>
        <v>6.3782298909777713E-2</v>
      </c>
      <c r="IH59" s="1219"/>
      <c r="II59" s="242"/>
      <c r="IJ59" s="242"/>
      <c r="IK59" s="242"/>
      <c r="IL59" s="242"/>
      <c r="IM59" s="242"/>
      <c r="IN59" s="242"/>
      <c r="IO59" s="242"/>
      <c r="IP59" s="242"/>
      <c r="IQ59" s="242"/>
      <c r="IR59" s="242"/>
      <c r="IS59" s="242"/>
      <c r="IT59" s="242"/>
      <c r="IU59" s="242"/>
      <c r="IV59" s="242"/>
      <c r="IW59" s="242"/>
      <c r="IX59" s="242"/>
      <c r="IY59" s="242"/>
      <c r="IZ59" s="242"/>
      <c r="JA59" s="242"/>
      <c r="JB59" s="242"/>
      <c r="JC59" s="242"/>
      <c r="JD59" s="242"/>
      <c r="JE59" s="242"/>
      <c r="JF59" s="242"/>
      <c r="JG59" s="243"/>
      <c r="JH59" s="243"/>
      <c r="JI59" s="243"/>
      <c r="JJ59" s="242"/>
      <c r="JK59" s="242"/>
      <c r="JL59" s="242"/>
      <c r="JM59" s="242"/>
      <c r="JN59" s="243"/>
      <c r="JO59" s="243"/>
      <c r="JP59" s="243"/>
      <c r="JQ59" s="242"/>
    </row>
    <row r="60" spans="2:277" s="396" customFormat="1" ht="11.25" customHeight="1" outlineLevel="1" x14ac:dyDescent="0.35">
      <c r="D60" s="216" t="s">
        <v>181</v>
      </c>
      <c r="E60" s="216"/>
      <c r="F60" s="250"/>
      <c r="G60" s="216">
        <f t="shared" ref="G60" si="418">SUM(G12:G13,G15:G18,G26:G27,G30,G32:G33)-G35</f>
        <v>0</v>
      </c>
      <c r="H60" s="216">
        <f t="shared" ref="H60:R60" si="419">SUM(H12:H13,H15:H18,H26:H27,H30,H32:H33)-H35</f>
        <v>0</v>
      </c>
      <c r="I60" s="216">
        <f t="shared" si="419"/>
        <v>0</v>
      </c>
      <c r="J60" s="216">
        <f t="shared" si="419"/>
        <v>0</v>
      </c>
      <c r="K60" s="216">
        <f t="shared" si="419"/>
        <v>0</v>
      </c>
      <c r="L60" s="216">
        <f t="shared" si="419"/>
        <v>0</v>
      </c>
      <c r="M60" s="216">
        <f t="shared" si="419"/>
        <v>0</v>
      </c>
      <c r="N60" s="216">
        <f t="shared" si="419"/>
        <v>0</v>
      </c>
      <c r="O60" s="216">
        <f t="shared" si="419"/>
        <v>0</v>
      </c>
      <c r="P60" s="216">
        <f t="shared" si="419"/>
        <v>0</v>
      </c>
      <c r="Q60" s="216">
        <f t="shared" si="419"/>
        <v>0</v>
      </c>
      <c r="R60" s="216">
        <f t="shared" si="419"/>
        <v>0</v>
      </c>
      <c r="S60" s="250"/>
      <c r="T60" s="216">
        <f t="shared" ref="T60:AE60" si="420">SUM(T12:T13,T15:T18,T26:T27,T30,T32:T33)-T35</f>
        <v>0</v>
      </c>
      <c r="U60" s="216">
        <f t="shared" si="420"/>
        <v>0</v>
      </c>
      <c r="V60" s="216">
        <f t="shared" si="420"/>
        <v>0</v>
      </c>
      <c r="W60" s="216">
        <f t="shared" si="420"/>
        <v>0</v>
      </c>
      <c r="X60" s="216">
        <f t="shared" si="420"/>
        <v>0</v>
      </c>
      <c r="Y60" s="216">
        <f t="shared" si="420"/>
        <v>0</v>
      </c>
      <c r="Z60" s="216">
        <f t="shared" si="420"/>
        <v>0</v>
      </c>
      <c r="AA60" s="216">
        <f t="shared" si="420"/>
        <v>0</v>
      </c>
      <c r="AB60" s="216">
        <f t="shared" si="420"/>
        <v>0</v>
      </c>
      <c r="AC60" s="216">
        <f t="shared" si="420"/>
        <v>0</v>
      </c>
      <c r="AD60" s="216">
        <f t="shared" si="420"/>
        <v>0</v>
      </c>
      <c r="AE60" s="216">
        <f t="shared" si="420"/>
        <v>0</v>
      </c>
      <c r="AV60" s="216" t="s">
        <v>181</v>
      </c>
      <c r="AW60" s="216"/>
      <c r="AX60" s="216">
        <f>SUM(AX12:AX13,AX15:AX18,AX26:AX27,AX30,AX32:AX33)-AX35</f>
        <v>0</v>
      </c>
      <c r="AY60" s="216">
        <f t="shared" ref="AY60:BC60" si="421">SUM(AY12:AY13,AY15:AY18,AY26:AY27,AY30,AY32:AY33)-AY35</f>
        <v>0</v>
      </c>
      <c r="AZ60" s="216">
        <f t="shared" si="421"/>
        <v>0</v>
      </c>
      <c r="BA60" s="216">
        <f t="shared" si="421"/>
        <v>0</v>
      </c>
      <c r="BB60" s="216">
        <f t="shared" si="421"/>
        <v>-2.4158453015843406E-13</v>
      </c>
      <c r="BC60" s="216">
        <f t="shared" si="421"/>
        <v>0</v>
      </c>
      <c r="BE60" s="216" t="s">
        <v>181</v>
      </c>
      <c r="BF60" s="216"/>
      <c r="BG60" s="216">
        <f>SUM(BG12:BG13,BG15:BG18,BG26:BG27,BG30,BG32:BG33)-BG35</f>
        <v>0</v>
      </c>
      <c r="BH60" s="216">
        <f t="shared" ref="BH60:BL60" si="422">SUM(BH12:BH13,BH15:BH18,BH26:BH27,BH30,BH32:BH33)-BH35</f>
        <v>0</v>
      </c>
      <c r="BI60" s="216">
        <f t="shared" si="422"/>
        <v>0</v>
      </c>
      <c r="BJ60" s="216">
        <f t="shared" si="422"/>
        <v>0</v>
      </c>
      <c r="BK60" s="216">
        <f t="shared" si="422"/>
        <v>-2.4158453015843406E-13</v>
      </c>
      <c r="BL60" s="216">
        <f t="shared" si="422"/>
        <v>0</v>
      </c>
      <c r="CC60" s="269"/>
      <c r="CD60" s="269"/>
      <c r="CI60" s="216" t="s">
        <v>181</v>
      </c>
      <c r="CJ60" s="216"/>
      <c r="CK60" s="216">
        <f>SUM(CK12:CK13,CK15:CK18,CK26:CK27,CK30,CK32:CK33,CK21:CK24)-CK35</f>
        <v>0</v>
      </c>
      <c r="CL60" s="216">
        <f t="shared" ref="CL60:CV60" si="423">SUM(CL12:CL13,CL15:CL18,CL26:CL27,CL30,CL32:CL33,CL21:CL24)-CL35</f>
        <v>0</v>
      </c>
      <c r="CM60" s="216">
        <f t="shared" si="423"/>
        <v>3.9968028886505635E-15</v>
      </c>
      <c r="CN60" s="216">
        <f t="shared" si="423"/>
        <v>6.2172489379008766E-15</v>
      </c>
      <c r="CO60" s="216">
        <f t="shared" si="423"/>
        <v>0</v>
      </c>
      <c r="CP60" s="216">
        <f t="shared" si="423"/>
        <v>8.4376949871511897E-15</v>
      </c>
      <c r="CQ60" s="216">
        <f t="shared" si="423"/>
        <v>0</v>
      </c>
      <c r="CR60" s="216">
        <f t="shared" si="423"/>
        <v>0</v>
      </c>
      <c r="CS60" s="216">
        <f t="shared" si="423"/>
        <v>0</v>
      </c>
      <c r="CT60" s="216">
        <f t="shared" si="423"/>
        <v>0</v>
      </c>
      <c r="CU60" s="216">
        <f t="shared" si="423"/>
        <v>0</v>
      </c>
      <c r="CV60" s="216">
        <f t="shared" si="423"/>
        <v>0</v>
      </c>
      <c r="DL60" s="821"/>
      <c r="DY60" s="216" t="s">
        <v>181</v>
      </c>
      <c r="EA60" s="216">
        <f t="shared" ref="EA60:EF60" si="424">SUM(EA12:EA13,EA15:EA18,EA26:EA27,EA30,EA32:EA33,EA21:EA24)-EA35</f>
        <v>0</v>
      </c>
      <c r="EB60" s="216">
        <f t="shared" si="424"/>
        <v>8.4376949871511897E-15</v>
      </c>
      <c r="EC60" s="216">
        <f t="shared" si="424"/>
        <v>0</v>
      </c>
      <c r="ED60" s="216">
        <f t="shared" si="424"/>
        <v>-1.3855583347321954E-13</v>
      </c>
      <c r="EE60" s="216">
        <f t="shared" si="424"/>
        <v>-2.1316282072803006E-13</v>
      </c>
      <c r="EF60" s="216">
        <f t="shared" si="424"/>
        <v>-1.1191048088221578E-13</v>
      </c>
      <c r="EG60" s="401"/>
      <c r="EH60" s="401"/>
      <c r="EI60" s="401"/>
      <c r="EJ60" s="401"/>
      <c r="EK60" s="216" t="s">
        <v>181</v>
      </c>
      <c r="EL60" s="216"/>
      <c r="EM60" s="216">
        <f t="shared" ref="EM60:ER60" si="425">SUM(EM12:EM13,EM15:EM18,EM26:EM27,EM30,EM32:EM33,EM21:EM24)-EM35</f>
        <v>0</v>
      </c>
      <c r="EN60" s="216">
        <f t="shared" si="425"/>
        <v>8.4376949871511897E-15</v>
      </c>
      <c r="EO60" s="216">
        <f t="shared" si="425"/>
        <v>0</v>
      </c>
      <c r="EP60" s="216">
        <f t="shared" si="425"/>
        <v>-1.3855583347321954E-13</v>
      </c>
      <c r="EQ60" s="216">
        <f t="shared" si="425"/>
        <v>-2.1316282072803006E-13</v>
      </c>
      <c r="ER60" s="216">
        <f t="shared" si="425"/>
        <v>-1.1191048088221578E-13</v>
      </c>
      <c r="ES60" s="401"/>
      <c r="ET60" s="401"/>
      <c r="EV60" s="242"/>
      <c r="EW60" s="257"/>
      <c r="EX60" s="259"/>
      <c r="EY60" s="259"/>
      <c r="EZ60" s="259"/>
      <c r="FA60" s="259"/>
      <c r="FB60" s="259"/>
      <c r="FC60" s="259"/>
      <c r="FD60" s="259"/>
      <c r="FE60" s="259"/>
      <c r="FF60" s="259"/>
      <c r="FG60" s="259"/>
      <c r="FH60" s="259"/>
      <c r="FI60" s="259"/>
      <c r="FJ60" s="259"/>
      <c r="FK60" s="259"/>
      <c r="FL60" s="259"/>
      <c r="FM60" s="259"/>
      <c r="FN60" s="259"/>
      <c r="FO60" s="259"/>
      <c r="FP60" s="259"/>
      <c r="FQ60" s="259"/>
      <c r="FR60" s="259"/>
      <c r="FS60" s="259"/>
      <c r="FT60" s="259"/>
      <c r="FU60" s="259"/>
      <c r="FV60" s="259"/>
      <c r="FW60" s="259"/>
      <c r="FX60" s="259"/>
      <c r="FY60" s="259"/>
      <c r="FZ60" s="259"/>
      <c r="GA60" s="259"/>
      <c r="GB60" s="259"/>
      <c r="GC60" s="259"/>
      <c r="GD60" s="259"/>
      <c r="GE60" s="259"/>
      <c r="GF60" s="259"/>
      <c r="GG60" s="259"/>
      <c r="GH60" s="259"/>
      <c r="GI60" s="259"/>
      <c r="GJ60" s="259"/>
      <c r="GK60" s="259"/>
      <c r="GL60" s="259"/>
      <c r="GM60" s="259"/>
      <c r="GN60" s="259"/>
      <c r="GO60" s="259"/>
      <c r="GP60" s="259"/>
      <c r="GQ60" s="259"/>
      <c r="GR60" s="259"/>
      <c r="GS60" s="310"/>
      <c r="GT60" s="890"/>
      <c r="GU60" s="412" t="s">
        <v>329</v>
      </c>
      <c r="GV60" s="242"/>
      <c r="GW60" s="1992">
        <f t="shared" ref="GW60:HH60" si="426">T$29</f>
        <v>34.600000000000044</v>
      </c>
      <c r="GX60" s="1992">
        <f t="shared" si="426"/>
        <v>52.400000000000048</v>
      </c>
      <c r="GY60" s="1992">
        <f t="shared" si="426"/>
        <v>23.699999999999818</v>
      </c>
      <c r="GZ60" s="1992">
        <f t="shared" si="426"/>
        <v>22.200000000000227</v>
      </c>
      <c r="HA60" s="1992">
        <f t="shared" si="426"/>
        <v>58.900000000000098</v>
      </c>
      <c r="HB60" s="1992">
        <f t="shared" si="426"/>
        <v>34.599999999999852</v>
      </c>
      <c r="HC60" s="1992">
        <f t="shared" si="426"/>
        <v>26.800000000000093</v>
      </c>
      <c r="HD60" s="1992">
        <f t="shared" si="426"/>
        <v>21.400000000000095</v>
      </c>
      <c r="HE60" s="1992">
        <f t="shared" si="426"/>
        <v>47.199999999999982</v>
      </c>
      <c r="HF60" s="1992">
        <f t="shared" si="426"/>
        <v>88.100000000000065</v>
      </c>
      <c r="HG60" s="1992">
        <f t="shared" si="426"/>
        <v>-15.000000000000046</v>
      </c>
      <c r="HH60" s="1992">
        <f t="shared" si="426"/>
        <v>21.400000000000095</v>
      </c>
      <c r="HI60" s="269"/>
      <c r="HJ60" s="1203">
        <f t="shared" si="408"/>
        <v>88.100000000000065</v>
      </c>
      <c r="HK60" s="1204">
        <f t="shared" si="409"/>
        <v>34.599999999999852</v>
      </c>
      <c r="HL60" s="1203">
        <f>SUM(HE60:HF60)</f>
        <v>135.30000000000004</v>
      </c>
      <c r="HM60" s="1204">
        <f>SUM(HA60:HB60)</f>
        <v>93.499999999999943</v>
      </c>
      <c r="HN60" s="1203">
        <f>SUM(HC60:HF60)</f>
        <v>183.50000000000023</v>
      </c>
      <c r="HO60" s="2017">
        <f>SUM(HA60:HD60)</f>
        <v>141.70000000000013</v>
      </c>
      <c r="HP60" s="1999"/>
      <c r="HQ60" s="310"/>
      <c r="HR60" s="310"/>
      <c r="HS60" s="310"/>
      <c r="HT60" s="310"/>
      <c r="HU60" s="310"/>
      <c r="HV60" s="310"/>
      <c r="HW60" s="310"/>
      <c r="HX60" s="310"/>
      <c r="HY60" s="310"/>
      <c r="HZ60" s="2"/>
      <c r="IA60" s="412" t="s">
        <v>249</v>
      </c>
      <c r="IB60" s="2066">
        <f t="shared" si="398"/>
        <v>88.100000000000065</v>
      </c>
      <c r="IC60" s="2067">
        <f t="shared" si="398"/>
        <v>34.599999999999852</v>
      </c>
      <c r="ID60" s="2066">
        <f t="shared" si="398"/>
        <v>135.30000000000004</v>
      </c>
      <c r="IE60" s="2067">
        <f t="shared" si="398"/>
        <v>93.499999999999943</v>
      </c>
      <c r="IF60" s="2066">
        <f t="shared" si="398"/>
        <v>183.50000000000023</v>
      </c>
      <c r="IG60" s="2070">
        <f t="shared" si="398"/>
        <v>141.70000000000013</v>
      </c>
      <c r="IH60" s="1220"/>
      <c r="II60" s="242"/>
      <c r="IX60" s="216" t="s">
        <v>181</v>
      </c>
      <c r="IY60" s="216"/>
      <c r="IZ60" s="1482">
        <f t="shared" ref="IZ60" si="427">SUM(IZ12:IZ13,IZ15:IZ18,IZ26:IZ27,IZ30,IZ32:IZ33,IZ21:IZ24)-IZ35</f>
        <v>0</v>
      </c>
      <c r="JA60" s="1482">
        <f t="shared" ref="JA60:JB60" si="428">SUM(JA12:JA13,JA15:JA18,JA26:JA27,JA30,JA32:JA33,JA21:JA24)-JA35</f>
        <v>0</v>
      </c>
      <c r="JB60" s="1482">
        <f t="shared" si="428"/>
        <v>0</v>
      </c>
      <c r="JF60" s="216" t="s">
        <v>181</v>
      </c>
      <c r="JG60" s="1482">
        <f t="shared" ref="JG60" si="429">SUM(JG12:JG13,JG15:JG18,JG26:JG27,JG30,JG32:JG33,JG21:JG24)-JG35</f>
        <v>0</v>
      </c>
      <c r="JH60" s="1482">
        <f t="shared" ref="JH60:JI60" si="430">SUM(JH12:JH13,JH15:JH18,JH26:JH27,JH30,JH32:JH33,JH21:JH24)-JH35</f>
        <v>4.8000000000001819E-2</v>
      </c>
      <c r="JI60" s="1482">
        <f t="shared" si="430"/>
        <v>0</v>
      </c>
      <c r="JM60" s="216" t="s">
        <v>181</v>
      </c>
      <c r="JN60" s="1482">
        <f t="shared" ref="JN60" si="431">SUM(JN12:JN13,JN15:JN18,JN26:JN27,JN30,JN32:JN33,JN21:JN24)-JN35</f>
        <v>0</v>
      </c>
      <c r="JO60" s="1482">
        <f t="shared" ref="JO60:JP60" si="432">SUM(JO12:JO13,JO15:JO18,JO26:JO27,JO30,JO32:JO33,JO21:JO24)-JO35</f>
        <v>4.8000000000001819E-2</v>
      </c>
      <c r="JP60" s="1482">
        <f t="shared" si="432"/>
        <v>0</v>
      </c>
    </row>
    <row r="61" spans="2:277" s="396" customFormat="1" ht="11.25" customHeight="1" outlineLevel="1" x14ac:dyDescent="0.35">
      <c r="D61" s="216" t="s">
        <v>181</v>
      </c>
      <c r="E61" s="216"/>
      <c r="F61" s="250"/>
      <c r="G61" s="216">
        <f t="shared" ref="G61" si="433">G35-G45</f>
        <v>0</v>
      </c>
      <c r="H61" s="216">
        <f t="shared" ref="H61:R61" si="434">H35-H45</f>
        <v>0</v>
      </c>
      <c r="I61" s="216">
        <f t="shared" si="434"/>
        <v>0</v>
      </c>
      <c r="J61" s="216">
        <f t="shared" si="434"/>
        <v>0</v>
      </c>
      <c r="K61" s="216">
        <f t="shared" si="434"/>
        <v>0</v>
      </c>
      <c r="L61" s="216">
        <f t="shared" si="434"/>
        <v>0</v>
      </c>
      <c r="M61" s="216">
        <f t="shared" si="434"/>
        <v>0</v>
      </c>
      <c r="N61" s="216">
        <f t="shared" si="434"/>
        <v>0</v>
      </c>
      <c r="O61" s="216">
        <f t="shared" si="434"/>
        <v>0</v>
      </c>
      <c r="P61" s="216">
        <f t="shared" si="434"/>
        <v>0</v>
      </c>
      <c r="Q61" s="216">
        <f t="shared" si="434"/>
        <v>0</v>
      </c>
      <c r="R61" s="216">
        <f t="shared" si="434"/>
        <v>0</v>
      </c>
      <c r="S61" s="250"/>
      <c r="T61" s="216">
        <f t="shared" ref="T61:AE61" si="435">T35-T45</f>
        <v>0</v>
      </c>
      <c r="U61" s="216">
        <f t="shared" si="435"/>
        <v>0</v>
      </c>
      <c r="V61" s="216">
        <f t="shared" si="435"/>
        <v>0</v>
      </c>
      <c r="W61" s="216">
        <f t="shared" si="435"/>
        <v>-1.4210854715202004E-14</v>
      </c>
      <c r="X61" s="216">
        <f t="shared" si="435"/>
        <v>0</v>
      </c>
      <c r="Y61" s="216">
        <f t="shared" si="435"/>
        <v>0</v>
      </c>
      <c r="Z61" s="216">
        <f t="shared" si="435"/>
        <v>0</v>
      </c>
      <c r="AA61" s="216">
        <f t="shared" si="435"/>
        <v>3.5527136788005009E-15</v>
      </c>
      <c r="AB61" s="216">
        <f t="shared" si="435"/>
        <v>0</v>
      </c>
      <c r="AC61" s="216">
        <f t="shared" si="435"/>
        <v>0</v>
      </c>
      <c r="AD61" s="216">
        <f t="shared" si="435"/>
        <v>0</v>
      </c>
      <c r="AE61" s="216">
        <f t="shared" si="435"/>
        <v>3.5527136788005009E-15</v>
      </c>
      <c r="AV61" s="216" t="s">
        <v>181</v>
      </c>
      <c r="AW61" s="216"/>
      <c r="AX61" s="216">
        <f>AX35-AX45</f>
        <v>0</v>
      </c>
      <c r="AY61" s="216">
        <f t="shared" ref="AY61:BC61" si="436">AY35-AY45</f>
        <v>0</v>
      </c>
      <c r="AZ61" s="216">
        <f t="shared" si="436"/>
        <v>0</v>
      </c>
      <c r="BA61" s="216">
        <f t="shared" si="436"/>
        <v>0</v>
      </c>
      <c r="BB61" s="216">
        <f t="shared" si="436"/>
        <v>0</v>
      </c>
      <c r="BC61" s="216">
        <f t="shared" si="436"/>
        <v>0</v>
      </c>
      <c r="BE61" s="216" t="s">
        <v>181</v>
      </c>
      <c r="BF61" s="216"/>
      <c r="BG61" s="216">
        <f>BG35-BG45</f>
        <v>0</v>
      </c>
      <c r="BH61" s="216">
        <f t="shared" ref="BH61:BL61" si="437">BH35-BH45</f>
        <v>0</v>
      </c>
      <c r="BI61" s="216">
        <f t="shared" si="437"/>
        <v>0</v>
      </c>
      <c r="BJ61" s="216">
        <f t="shared" si="437"/>
        <v>0</v>
      </c>
      <c r="BK61" s="216">
        <f t="shared" si="437"/>
        <v>0</v>
      </c>
      <c r="BL61" s="216">
        <f t="shared" si="437"/>
        <v>0</v>
      </c>
      <c r="CC61" s="269"/>
      <c r="CD61" s="269"/>
      <c r="CI61" s="216" t="s">
        <v>181</v>
      </c>
      <c r="CJ61" s="216"/>
      <c r="CK61" s="216">
        <f>CK35-CK45</f>
        <v>0</v>
      </c>
      <c r="CL61" s="216">
        <f t="shared" ref="CL61:CV61" si="438">CL35-CL45</f>
        <v>0</v>
      </c>
      <c r="CM61" s="216">
        <f t="shared" si="438"/>
        <v>0</v>
      </c>
      <c r="CN61" s="216">
        <f t="shared" si="438"/>
        <v>0</v>
      </c>
      <c r="CO61" s="216">
        <f t="shared" si="438"/>
        <v>0</v>
      </c>
      <c r="CP61" s="216">
        <f t="shared" si="438"/>
        <v>0</v>
      </c>
      <c r="CQ61" s="216">
        <f t="shared" si="438"/>
        <v>0</v>
      </c>
      <c r="CR61" s="216">
        <f t="shared" si="438"/>
        <v>0</v>
      </c>
      <c r="CS61" s="216">
        <f t="shared" si="438"/>
        <v>0</v>
      </c>
      <c r="CT61" s="216">
        <f t="shared" si="438"/>
        <v>0</v>
      </c>
      <c r="CU61" s="216">
        <f t="shared" si="438"/>
        <v>0</v>
      </c>
      <c r="CV61" s="216">
        <f t="shared" si="438"/>
        <v>0</v>
      </c>
      <c r="DL61" s="821"/>
      <c r="DY61" s="216" t="s">
        <v>181</v>
      </c>
      <c r="EA61" s="216">
        <f t="shared" ref="EA61:EF61" si="439">EA35-EA45</f>
        <v>0</v>
      </c>
      <c r="EB61" s="216">
        <f t="shared" si="439"/>
        <v>0</v>
      </c>
      <c r="EC61" s="216">
        <f t="shared" si="439"/>
        <v>0</v>
      </c>
      <c r="ED61" s="216">
        <f t="shared" si="439"/>
        <v>0</v>
      </c>
      <c r="EE61" s="216">
        <f t="shared" si="439"/>
        <v>0</v>
      </c>
      <c r="EF61" s="216">
        <f t="shared" si="439"/>
        <v>0</v>
      </c>
      <c r="EK61" s="216" t="s">
        <v>181</v>
      </c>
      <c r="EL61" s="216"/>
      <c r="EM61" s="216">
        <f t="shared" ref="EM61:ER61" si="440">EM35-EM45</f>
        <v>0</v>
      </c>
      <c r="EN61" s="216">
        <f t="shared" si="440"/>
        <v>0</v>
      </c>
      <c r="EO61" s="216">
        <f t="shared" si="440"/>
        <v>0</v>
      </c>
      <c r="EP61" s="216">
        <f t="shared" si="440"/>
        <v>0</v>
      </c>
      <c r="EQ61" s="216">
        <f t="shared" si="440"/>
        <v>0</v>
      </c>
      <c r="ER61" s="216">
        <f t="shared" si="440"/>
        <v>0</v>
      </c>
      <c r="EW61" s="259"/>
      <c r="EX61" s="259"/>
      <c r="EY61" s="259"/>
      <c r="EZ61" s="259"/>
      <c r="FA61" s="259"/>
      <c r="FB61" s="259"/>
      <c r="FC61" s="259"/>
      <c r="FD61" s="259"/>
      <c r="FE61" s="259"/>
      <c r="FF61" s="259"/>
      <c r="FG61" s="259"/>
      <c r="FH61" s="259"/>
      <c r="FI61" s="259"/>
      <c r="FJ61" s="259"/>
      <c r="FK61" s="259"/>
      <c r="FL61" s="259"/>
      <c r="FM61" s="259"/>
      <c r="FN61" s="259"/>
      <c r="FO61" s="259"/>
      <c r="FP61" s="259"/>
      <c r="FQ61" s="259"/>
      <c r="FR61" s="259"/>
      <c r="FS61" s="259"/>
      <c r="FT61" s="259"/>
      <c r="FU61" s="259"/>
      <c r="FV61" s="259"/>
      <c r="FW61" s="259"/>
      <c r="FX61" s="259"/>
      <c r="FY61" s="259"/>
      <c r="FZ61" s="259"/>
      <c r="GA61" s="259"/>
      <c r="GB61" s="259"/>
      <c r="GC61" s="259"/>
      <c r="GD61" s="259"/>
      <c r="GE61" s="259"/>
      <c r="GF61" s="259"/>
      <c r="GG61" s="259"/>
      <c r="GH61" s="259"/>
      <c r="GI61" s="259"/>
      <c r="GJ61" s="259"/>
      <c r="GK61" s="259"/>
      <c r="GL61" s="259"/>
      <c r="GM61" s="259"/>
      <c r="GN61" s="259"/>
      <c r="GO61" s="259"/>
      <c r="GP61" s="259"/>
      <c r="GQ61" s="259"/>
      <c r="GR61" s="259"/>
      <c r="GS61" s="310"/>
      <c r="GT61" s="890"/>
      <c r="GU61" s="412" t="s">
        <v>331</v>
      </c>
      <c r="GV61" s="242"/>
      <c r="GW61" s="1993">
        <f t="shared" ref="GW61:HH61" si="441">GW60/GW12</f>
        <v>5.9532002752925056E-2</v>
      </c>
      <c r="GX61" s="1993">
        <f t="shared" si="441"/>
        <v>8.6683209263854505E-2</v>
      </c>
      <c r="GY61" s="1993">
        <f t="shared" si="441"/>
        <v>4.6782471377812516E-2</v>
      </c>
      <c r="GZ61" s="1993">
        <f t="shared" si="441"/>
        <v>3.8308886971527553E-2</v>
      </c>
      <c r="HA61" s="1993">
        <f t="shared" si="441"/>
        <v>9.20888055034398E-2</v>
      </c>
      <c r="HB61" s="1993">
        <f t="shared" si="441"/>
        <v>5.1488095238095027E-2</v>
      </c>
      <c r="HC61" s="1993">
        <f t="shared" si="441"/>
        <v>5.383688228204115E-2</v>
      </c>
      <c r="HD61" s="1993">
        <f t="shared" si="441"/>
        <v>4.1122213681783419E-2</v>
      </c>
      <c r="HE61" s="1993">
        <f t="shared" si="441"/>
        <v>7.7427821522309676E-2</v>
      </c>
      <c r="HF61" s="1993">
        <f t="shared" si="441"/>
        <v>0.12866949028771735</v>
      </c>
      <c r="HG61" s="1993">
        <f t="shared" si="441"/>
        <v>-2.9120559114735083E-2</v>
      </c>
      <c r="HH61" s="1993">
        <f t="shared" si="441"/>
        <v>4.1122213681783419E-2</v>
      </c>
      <c r="HI61" s="250"/>
      <c r="HJ61" s="926">
        <f t="shared" si="408"/>
        <v>0.12866949028771735</v>
      </c>
      <c r="HK61" s="241">
        <f t="shared" si="409"/>
        <v>5.1488095238095027E-2</v>
      </c>
      <c r="HL61" s="926">
        <f>HL60/HL$12</f>
        <v>0.10453527003013215</v>
      </c>
      <c r="HM61" s="241">
        <f>HM60/HM$12</f>
        <v>7.128697773711494E-2</v>
      </c>
      <c r="HN61" s="926">
        <f>HN60/HN$12</f>
        <v>7.9351351351351448E-2</v>
      </c>
      <c r="HO61" s="2020">
        <f>HO60/HO$12</f>
        <v>6.0820671302257753E-2</v>
      </c>
      <c r="HP61" s="1999"/>
      <c r="HQ61" s="310"/>
      <c r="HR61" s="310"/>
      <c r="HS61" s="310"/>
      <c r="HT61" s="310"/>
      <c r="HU61" s="310"/>
      <c r="HV61" s="310"/>
      <c r="HW61" s="310"/>
      <c r="HX61" s="310"/>
      <c r="HY61" s="310"/>
      <c r="HZ61" s="2"/>
      <c r="IA61" s="412" t="s">
        <v>332</v>
      </c>
      <c r="IB61" s="926">
        <f t="shared" si="398"/>
        <v>0.12866949028771735</v>
      </c>
      <c r="IC61" s="241">
        <f t="shared" si="398"/>
        <v>5.1488095238095027E-2</v>
      </c>
      <c r="ID61" s="926">
        <f t="shared" si="398"/>
        <v>0.10453527003013215</v>
      </c>
      <c r="IE61" s="241">
        <f t="shared" si="398"/>
        <v>7.128697773711494E-2</v>
      </c>
      <c r="IF61" s="926">
        <f t="shared" si="398"/>
        <v>7.9351351351351448E-2</v>
      </c>
      <c r="IG61" s="2020">
        <f t="shared" si="398"/>
        <v>6.0820671302257753E-2</v>
      </c>
      <c r="IH61" s="1150"/>
      <c r="IX61" s="216" t="s">
        <v>181</v>
      </c>
      <c r="IY61" s="216"/>
      <c r="IZ61" s="1482">
        <f t="shared" ref="IZ61" si="442">IZ35-IZ45</f>
        <v>0</v>
      </c>
      <c r="JA61" s="1482">
        <f t="shared" ref="JA61:JB61" si="443">JA35-JA45</f>
        <v>-5.6843418860808015E-14</v>
      </c>
      <c r="JB61" s="1482">
        <f t="shared" si="443"/>
        <v>0</v>
      </c>
      <c r="JF61" s="216" t="s">
        <v>181</v>
      </c>
      <c r="JG61" s="1482">
        <f t="shared" ref="JG61" si="444">JG35-JG45</f>
        <v>0</v>
      </c>
      <c r="JH61" s="1482">
        <f t="shared" ref="JH61:JI61" si="445">JH35-JH45</f>
        <v>-5.6843418860808015E-14</v>
      </c>
      <c r="JI61" s="1482">
        <f t="shared" si="445"/>
        <v>0</v>
      </c>
      <c r="JM61" s="216" t="s">
        <v>181</v>
      </c>
      <c r="JN61" s="1482">
        <f t="shared" ref="JN61" si="446">JN35-JN45</f>
        <v>0</v>
      </c>
      <c r="JO61" s="1482">
        <f t="shared" ref="JO61:JP61" si="447">JO35-JO45</f>
        <v>-5.6843418860808015E-14</v>
      </c>
      <c r="JP61" s="1482">
        <f t="shared" si="447"/>
        <v>0</v>
      </c>
    </row>
    <row r="62" spans="2:277" s="396" customFormat="1" ht="11.25" customHeight="1" outlineLevel="1" x14ac:dyDescent="0.35">
      <c r="D62" s="216" t="s">
        <v>181</v>
      </c>
      <c r="E62" s="216"/>
      <c r="F62" s="250"/>
      <c r="G62" s="216">
        <f t="shared" ref="G62" si="448">SUM(G35,G46:G48,G50)-G53</f>
        <v>0</v>
      </c>
      <c r="H62" s="216">
        <f t="shared" ref="H62:R62" si="449">SUM(H35,H46:H48,H50)-H53</f>
        <v>0</v>
      </c>
      <c r="I62" s="216">
        <f t="shared" si="449"/>
        <v>0</v>
      </c>
      <c r="J62" s="216">
        <f t="shared" si="449"/>
        <v>0</v>
      </c>
      <c r="K62" s="216">
        <f t="shared" si="449"/>
        <v>0</v>
      </c>
      <c r="L62" s="216">
        <f t="shared" si="449"/>
        <v>0</v>
      </c>
      <c r="M62" s="216">
        <f t="shared" si="449"/>
        <v>0</v>
      </c>
      <c r="N62" s="216">
        <f t="shared" si="449"/>
        <v>0</v>
      </c>
      <c r="O62" s="216">
        <f t="shared" si="449"/>
        <v>0</v>
      </c>
      <c r="P62" s="216">
        <f t="shared" si="449"/>
        <v>0</v>
      </c>
      <c r="Q62" s="216">
        <f t="shared" si="449"/>
        <v>0</v>
      </c>
      <c r="R62" s="216">
        <f t="shared" si="449"/>
        <v>0</v>
      </c>
      <c r="S62" s="250"/>
      <c r="T62" s="216">
        <f t="shared" ref="T62:AE62" si="450">SUM(T35,T46:T48,T50)-T53</f>
        <v>0</v>
      </c>
      <c r="U62" s="216">
        <f t="shared" si="450"/>
        <v>0</v>
      </c>
      <c r="V62" s="216">
        <f t="shared" si="450"/>
        <v>0</v>
      </c>
      <c r="W62" s="216">
        <f t="shared" si="450"/>
        <v>-1.4210854715202004E-14</v>
      </c>
      <c r="X62" s="216">
        <f t="shared" si="450"/>
        <v>0</v>
      </c>
      <c r="Y62" s="216">
        <f t="shared" si="450"/>
        <v>0</v>
      </c>
      <c r="Z62" s="216">
        <f t="shared" si="450"/>
        <v>0</v>
      </c>
      <c r="AA62" s="216">
        <f t="shared" si="450"/>
        <v>3.5527136788005009E-15</v>
      </c>
      <c r="AB62" s="216">
        <f t="shared" si="450"/>
        <v>0</v>
      </c>
      <c r="AC62" s="216">
        <f t="shared" si="450"/>
        <v>0</v>
      </c>
      <c r="AD62" s="216">
        <f t="shared" si="450"/>
        <v>0</v>
      </c>
      <c r="AE62" s="216">
        <f t="shared" si="450"/>
        <v>3.5527136788005009E-15</v>
      </c>
      <c r="AV62" s="216" t="s">
        <v>181</v>
      </c>
      <c r="AW62" s="216"/>
      <c r="AX62" s="216">
        <f>SUM(AX35,AX46:AX48,AX50)-AX53</f>
        <v>0</v>
      </c>
      <c r="AY62" s="216">
        <f t="shared" ref="AY62:BC62" si="451">SUM(AY35,AY46:AY48,AY50)-AY53</f>
        <v>0</v>
      </c>
      <c r="AZ62" s="216">
        <f t="shared" si="451"/>
        <v>0</v>
      </c>
      <c r="BA62" s="216">
        <f t="shared" si="451"/>
        <v>0</v>
      </c>
      <c r="BB62" s="216">
        <f t="shared" si="451"/>
        <v>0</v>
      </c>
      <c r="BC62" s="216">
        <f t="shared" si="451"/>
        <v>0</v>
      </c>
      <c r="BE62" s="216" t="s">
        <v>181</v>
      </c>
      <c r="BF62" s="216"/>
      <c r="BG62" s="216">
        <f>SUM(BG35,BG46:BG48,BG50)-BG53</f>
        <v>0</v>
      </c>
      <c r="BH62" s="216">
        <f t="shared" ref="BH62:BL62" si="452">SUM(BH35,BH46:BH48,BH50)-BH53</f>
        <v>0</v>
      </c>
      <c r="BI62" s="216">
        <f t="shared" si="452"/>
        <v>0</v>
      </c>
      <c r="BJ62" s="216">
        <f t="shared" si="452"/>
        <v>0</v>
      </c>
      <c r="BK62" s="216">
        <f t="shared" si="452"/>
        <v>0</v>
      </c>
      <c r="BL62" s="216">
        <f t="shared" si="452"/>
        <v>0</v>
      </c>
      <c r="CC62" s="269"/>
      <c r="CD62" s="269"/>
      <c r="CI62" s="216" t="s">
        <v>181</v>
      </c>
      <c r="CJ62" s="216"/>
      <c r="CK62" s="216">
        <f>SUM(CK35,CK46:CK48,CK50)-CK53</f>
        <v>0</v>
      </c>
      <c r="CL62" s="216">
        <f t="shared" ref="CL62:CV62" si="453">SUM(CL35,CL46:CL48,CL50)-CL53</f>
        <v>0</v>
      </c>
      <c r="CM62" s="216">
        <f t="shared" si="453"/>
        <v>0</v>
      </c>
      <c r="CN62" s="216">
        <f t="shared" si="453"/>
        <v>0</v>
      </c>
      <c r="CO62" s="216">
        <f t="shared" si="453"/>
        <v>0</v>
      </c>
      <c r="CP62" s="216">
        <f t="shared" si="453"/>
        <v>0</v>
      </c>
      <c r="CQ62" s="216">
        <f t="shared" si="453"/>
        <v>0</v>
      </c>
      <c r="CR62" s="216">
        <f t="shared" si="453"/>
        <v>0</v>
      </c>
      <c r="CS62" s="216">
        <f t="shared" si="453"/>
        <v>0</v>
      </c>
      <c r="CT62" s="216">
        <f t="shared" si="453"/>
        <v>0</v>
      </c>
      <c r="CU62" s="216">
        <f t="shared" si="453"/>
        <v>0</v>
      </c>
      <c r="CV62" s="216">
        <f t="shared" si="453"/>
        <v>0</v>
      </c>
      <c r="DL62" s="821"/>
      <c r="DY62" s="216" t="s">
        <v>181</v>
      </c>
      <c r="EA62" s="216">
        <f t="shared" ref="EA62:EF62" si="454">SUM(EA35,EA46:EA48,EA50)-EA53</f>
        <v>0</v>
      </c>
      <c r="EB62" s="216">
        <f t="shared" si="454"/>
        <v>0</v>
      </c>
      <c r="EC62" s="216">
        <f t="shared" si="454"/>
        <v>0</v>
      </c>
      <c r="ED62" s="216">
        <f t="shared" si="454"/>
        <v>0</v>
      </c>
      <c r="EE62" s="216">
        <f t="shared" si="454"/>
        <v>0</v>
      </c>
      <c r="EF62" s="216">
        <f t="shared" si="454"/>
        <v>0</v>
      </c>
      <c r="EK62" s="216" t="s">
        <v>181</v>
      </c>
      <c r="EL62" s="216"/>
      <c r="EM62" s="216">
        <f t="shared" ref="EM62:ER62" si="455">SUM(EM35,EM46:EM48,EM50)-EM53</f>
        <v>0</v>
      </c>
      <c r="EN62" s="216">
        <f t="shared" si="455"/>
        <v>0</v>
      </c>
      <c r="EO62" s="216">
        <f t="shared" si="455"/>
        <v>0</v>
      </c>
      <c r="EP62" s="216">
        <f t="shared" si="455"/>
        <v>0</v>
      </c>
      <c r="EQ62" s="216">
        <f t="shared" si="455"/>
        <v>0</v>
      </c>
      <c r="ER62" s="216">
        <f t="shared" si="455"/>
        <v>0</v>
      </c>
      <c r="EW62" s="259"/>
      <c r="EX62" s="259"/>
      <c r="EY62" s="259"/>
      <c r="EZ62" s="259"/>
      <c r="FA62" s="259"/>
      <c r="FB62" s="259"/>
      <c r="FC62" s="259"/>
      <c r="FD62" s="259"/>
      <c r="FE62" s="259"/>
      <c r="FF62" s="259"/>
      <c r="FG62" s="259"/>
      <c r="FH62" s="259"/>
      <c r="FI62" s="259"/>
      <c r="FJ62" s="259"/>
      <c r="FK62" s="259"/>
      <c r="FL62" s="259"/>
      <c r="FM62" s="259"/>
      <c r="FN62" s="259"/>
      <c r="FO62" s="259"/>
      <c r="FP62" s="259"/>
      <c r="FQ62" s="259"/>
      <c r="FR62" s="259"/>
      <c r="FS62" s="259"/>
      <c r="FT62" s="259"/>
      <c r="FU62" s="259"/>
      <c r="FV62" s="259"/>
      <c r="FW62" s="259"/>
      <c r="FX62" s="259"/>
      <c r="FY62" s="259"/>
      <c r="FZ62" s="259"/>
      <c r="GA62" s="259"/>
      <c r="GB62" s="259"/>
      <c r="GC62" s="259"/>
      <c r="GD62" s="259"/>
      <c r="GE62" s="259"/>
      <c r="GF62" s="259"/>
      <c r="GG62" s="259"/>
      <c r="GH62" s="259"/>
      <c r="GI62" s="259"/>
      <c r="GJ62" s="259"/>
      <c r="GK62" s="259"/>
      <c r="GL62" s="259"/>
      <c r="GM62" s="259"/>
      <c r="GN62" s="259"/>
      <c r="GO62" s="259"/>
      <c r="GP62" s="259"/>
      <c r="GQ62" s="259"/>
      <c r="GR62" s="259"/>
      <c r="GS62" s="310"/>
      <c r="GT62" s="890"/>
      <c r="GU62" s="412"/>
      <c r="GV62" s="242"/>
      <c r="GW62" s="413"/>
      <c r="GX62" s="413"/>
      <c r="GY62" s="413"/>
      <c r="GZ62" s="413"/>
      <c r="HA62" s="413"/>
      <c r="HB62" s="413"/>
      <c r="HC62" s="413"/>
      <c r="HD62" s="413"/>
      <c r="HE62" s="413"/>
      <c r="HF62" s="413"/>
      <c r="HG62" s="413"/>
      <c r="HH62" s="413"/>
      <c r="HJ62" s="928"/>
      <c r="HK62" s="413"/>
      <c r="HL62" s="928"/>
      <c r="HM62" s="413"/>
      <c r="HN62" s="928"/>
      <c r="HO62" s="2019"/>
      <c r="HP62" s="1999"/>
      <c r="HQ62" s="310"/>
      <c r="HR62" s="310"/>
      <c r="HS62" s="310"/>
      <c r="HT62" s="310"/>
      <c r="HU62" s="310"/>
      <c r="HV62" s="310"/>
      <c r="HW62" s="310"/>
      <c r="HX62" s="310"/>
      <c r="HY62" s="310"/>
      <c r="HZ62" s="2"/>
      <c r="IA62" s="412"/>
      <c r="IB62" s="928"/>
      <c r="IC62" s="413"/>
      <c r="ID62" s="928"/>
      <c r="IE62" s="413"/>
      <c r="IF62" s="928"/>
      <c r="IG62" s="2019"/>
      <c r="IH62" s="1220"/>
      <c r="IX62" s="216" t="s">
        <v>181</v>
      </c>
      <c r="IY62" s="216"/>
      <c r="IZ62" s="1482">
        <f t="shared" ref="IZ62" si="456">SUM(IZ35,IZ46:IZ48,IZ50)-IZ53</f>
        <v>0</v>
      </c>
      <c r="JA62" s="1482">
        <f t="shared" ref="JA62:JB62" si="457">SUM(JA35,JA46:JA48,JA50)-JA53</f>
        <v>-5.6843418860808015E-14</v>
      </c>
      <c r="JB62" s="1482">
        <f t="shared" si="457"/>
        <v>0</v>
      </c>
      <c r="JF62" s="216" t="s">
        <v>181</v>
      </c>
      <c r="JG62" s="1482">
        <f t="shared" ref="JG62" si="458">SUM(JG35,JG46:JG48,JG50)-JG53</f>
        <v>0</v>
      </c>
      <c r="JH62" s="1482">
        <f t="shared" ref="JH62:JI62" si="459">SUM(JH35,JH46:JH48,JH50)-JH53</f>
        <v>-5.6843418860808015E-14</v>
      </c>
      <c r="JI62" s="1482">
        <f t="shared" si="459"/>
        <v>0</v>
      </c>
      <c r="JM62" s="216" t="s">
        <v>181</v>
      </c>
      <c r="JN62" s="1482">
        <f t="shared" ref="JN62" si="460">SUM(JN35,JN46:JN48,JN50)-JN53</f>
        <v>0</v>
      </c>
      <c r="JO62" s="1482">
        <f t="shared" ref="JO62:JP62" si="461">SUM(JO35,JO46:JO48,JO50)-JO53</f>
        <v>-5.6843418860808015E-14</v>
      </c>
      <c r="JP62" s="1482">
        <f t="shared" si="461"/>
        <v>0</v>
      </c>
    </row>
    <row r="63" spans="2:277" s="409" customFormat="1" ht="11.25" customHeight="1" outlineLevel="1" x14ac:dyDescent="0.35">
      <c r="D63" s="216" t="s">
        <v>181</v>
      </c>
      <c r="E63" s="216"/>
      <c r="F63" s="250"/>
      <c r="G63" s="216">
        <f t="shared" ref="G63" si="462">SUM(G37:G38)-G35</f>
        <v>0</v>
      </c>
      <c r="H63" s="216">
        <f t="shared" ref="H63:R63" si="463">SUM(H37:H38)-H35</f>
        <v>0</v>
      </c>
      <c r="I63" s="216">
        <f t="shared" si="463"/>
        <v>0</v>
      </c>
      <c r="J63" s="216">
        <f t="shared" si="463"/>
        <v>0</v>
      </c>
      <c r="K63" s="216">
        <f t="shared" si="463"/>
        <v>0</v>
      </c>
      <c r="L63" s="216">
        <f t="shared" si="463"/>
        <v>0</v>
      </c>
      <c r="M63" s="216">
        <f t="shared" si="463"/>
        <v>0</v>
      </c>
      <c r="N63" s="216">
        <f t="shared" si="463"/>
        <v>0</v>
      </c>
      <c r="O63" s="216">
        <f t="shared" si="463"/>
        <v>0</v>
      </c>
      <c r="P63" s="216">
        <f t="shared" si="463"/>
        <v>0</v>
      </c>
      <c r="Q63" s="216">
        <f t="shared" si="463"/>
        <v>0</v>
      </c>
      <c r="R63" s="216">
        <f t="shared" si="463"/>
        <v>0</v>
      </c>
      <c r="S63" s="250"/>
      <c r="T63" s="216">
        <f t="shared" ref="T63:AE63" si="464">SUM(T37:T38)-T35</f>
        <v>0</v>
      </c>
      <c r="U63" s="216">
        <f t="shared" si="464"/>
        <v>0</v>
      </c>
      <c r="V63" s="216">
        <f t="shared" si="464"/>
        <v>0</v>
      </c>
      <c r="W63" s="216">
        <f t="shared" si="464"/>
        <v>1.4210854715202004E-14</v>
      </c>
      <c r="X63" s="216">
        <f t="shared" si="464"/>
        <v>0</v>
      </c>
      <c r="Y63" s="216">
        <f t="shared" si="464"/>
        <v>0</v>
      </c>
      <c r="Z63" s="216">
        <f t="shared" si="464"/>
        <v>0</v>
      </c>
      <c r="AA63" s="216">
        <f t="shared" si="464"/>
        <v>0</v>
      </c>
      <c r="AB63" s="216">
        <f t="shared" si="464"/>
        <v>0</v>
      </c>
      <c r="AC63" s="216">
        <f t="shared" si="464"/>
        <v>0</v>
      </c>
      <c r="AD63" s="216">
        <f t="shared" si="464"/>
        <v>0</v>
      </c>
      <c r="AE63" s="216">
        <f t="shared" si="464"/>
        <v>0</v>
      </c>
      <c r="AV63" s="216" t="s">
        <v>181</v>
      </c>
      <c r="AW63" s="216"/>
      <c r="AX63" s="216">
        <f>SUM(AX37:AX38)-AX35</f>
        <v>0</v>
      </c>
      <c r="AY63" s="216">
        <f t="shared" ref="AY63:BC63" si="465">SUM(AY37:AY38)-AY35</f>
        <v>0</v>
      </c>
      <c r="AZ63" s="216">
        <f t="shared" si="465"/>
        <v>0</v>
      </c>
      <c r="BA63" s="216">
        <f t="shared" si="465"/>
        <v>0</v>
      </c>
      <c r="BB63" s="216">
        <f t="shared" si="465"/>
        <v>0</v>
      </c>
      <c r="BC63" s="216">
        <f t="shared" si="465"/>
        <v>0</v>
      </c>
      <c r="BE63" s="216" t="s">
        <v>181</v>
      </c>
      <c r="BF63" s="216"/>
      <c r="BG63" s="216">
        <f>SUM(BG37:BG38)-BG35</f>
        <v>0</v>
      </c>
      <c r="BH63" s="216">
        <f t="shared" ref="BH63:BL63" si="466">SUM(BH37:BH38)-BH35</f>
        <v>0</v>
      </c>
      <c r="BI63" s="216">
        <f t="shared" si="466"/>
        <v>0</v>
      </c>
      <c r="BJ63" s="216">
        <f t="shared" si="466"/>
        <v>0</v>
      </c>
      <c r="BK63" s="216">
        <f t="shared" si="466"/>
        <v>0</v>
      </c>
      <c r="BL63" s="216">
        <f t="shared" si="466"/>
        <v>0</v>
      </c>
      <c r="CC63" s="405"/>
      <c r="CD63" s="405"/>
      <c r="CI63" s="216" t="s">
        <v>181</v>
      </c>
      <c r="CJ63" s="216"/>
      <c r="CK63" s="216">
        <f>SUM(CK37:CK38)-CK35</f>
        <v>0</v>
      </c>
      <c r="CL63" s="216">
        <f t="shared" ref="CL63:CV63" si="467">SUM(CL37:CL38)-CL35</f>
        <v>0</v>
      </c>
      <c r="CM63" s="216">
        <f t="shared" si="467"/>
        <v>0</v>
      </c>
      <c r="CN63" s="216">
        <f t="shared" si="467"/>
        <v>0</v>
      </c>
      <c r="CO63" s="216">
        <f t="shared" si="467"/>
        <v>0</v>
      </c>
      <c r="CP63" s="216">
        <f t="shared" si="467"/>
        <v>0</v>
      </c>
      <c r="CQ63" s="216">
        <f t="shared" si="467"/>
        <v>0</v>
      </c>
      <c r="CR63" s="216">
        <f t="shared" si="467"/>
        <v>0</v>
      </c>
      <c r="CS63" s="216">
        <f t="shared" si="467"/>
        <v>0</v>
      </c>
      <c r="CT63" s="216">
        <f t="shared" si="467"/>
        <v>0</v>
      </c>
      <c r="CU63" s="216">
        <f t="shared" si="467"/>
        <v>0</v>
      </c>
      <c r="CV63" s="216">
        <f t="shared" si="467"/>
        <v>0</v>
      </c>
      <c r="DL63" s="1607"/>
      <c r="DY63" s="216" t="s">
        <v>181</v>
      </c>
      <c r="EA63" s="216">
        <f t="shared" ref="EA63:EF63" si="468">SUM(EA37:EA38)-EA35</f>
        <v>0</v>
      </c>
      <c r="EB63" s="216">
        <f t="shared" si="468"/>
        <v>0</v>
      </c>
      <c r="EC63" s="216">
        <f t="shared" si="468"/>
        <v>0</v>
      </c>
      <c r="ED63" s="216">
        <f t="shared" si="468"/>
        <v>0</v>
      </c>
      <c r="EE63" s="216">
        <f t="shared" si="468"/>
        <v>0</v>
      </c>
      <c r="EF63" s="216">
        <f t="shared" si="468"/>
        <v>0</v>
      </c>
      <c r="EK63" s="216" t="s">
        <v>181</v>
      </c>
      <c r="EL63" s="216"/>
      <c r="EM63" s="216">
        <f t="shared" ref="EM63:ER63" si="469">SUM(EM37:EM38)-EM35</f>
        <v>0</v>
      </c>
      <c r="EN63" s="216">
        <f t="shared" si="469"/>
        <v>0</v>
      </c>
      <c r="EO63" s="216">
        <f t="shared" si="469"/>
        <v>0</v>
      </c>
      <c r="EP63" s="216">
        <f t="shared" si="469"/>
        <v>0</v>
      </c>
      <c r="EQ63" s="216">
        <f t="shared" si="469"/>
        <v>0</v>
      </c>
      <c r="ER63" s="216">
        <f t="shared" si="469"/>
        <v>0</v>
      </c>
      <c r="EV63" s="396"/>
      <c r="EW63" s="259"/>
      <c r="EX63" s="259"/>
      <c r="EY63" s="259"/>
      <c r="EZ63" s="259"/>
      <c r="FA63" s="259"/>
      <c r="FB63" s="259"/>
      <c r="FC63" s="259"/>
      <c r="FD63" s="259"/>
      <c r="FE63" s="259"/>
      <c r="FF63" s="259"/>
      <c r="FG63" s="259"/>
      <c r="FH63" s="259"/>
      <c r="FI63" s="259"/>
      <c r="FJ63" s="259"/>
      <c r="FK63" s="259"/>
      <c r="FL63" s="259"/>
      <c r="FM63" s="259"/>
      <c r="FN63" s="352"/>
      <c r="FO63" s="352"/>
      <c r="FP63" s="352"/>
      <c r="FQ63" s="352"/>
      <c r="FR63" s="352"/>
      <c r="FS63" s="352"/>
      <c r="FT63" s="352"/>
      <c r="FU63" s="352"/>
      <c r="FV63" s="352"/>
      <c r="FW63" s="352"/>
      <c r="FX63" s="352"/>
      <c r="FY63" s="352"/>
      <c r="FZ63" s="352"/>
      <c r="GA63" s="352"/>
      <c r="GB63" s="352"/>
      <c r="GC63" s="352"/>
      <c r="GD63" s="352"/>
      <c r="GE63" s="352"/>
      <c r="GF63" s="352"/>
      <c r="GG63" s="352"/>
      <c r="GH63" s="352"/>
      <c r="GI63" s="352"/>
      <c r="GJ63" s="352"/>
      <c r="GK63" s="352"/>
      <c r="GL63" s="352"/>
      <c r="GM63" s="352"/>
      <c r="GN63" s="352"/>
      <c r="GO63" s="352"/>
      <c r="GP63" s="352"/>
      <c r="GQ63" s="352"/>
      <c r="GR63" s="352"/>
      <c r="GS63" s="310"/>
      <c r="GT63" s="1293"/>
      <c r="GU63" s="412" t="s">
        <v>278</v>
      </c>
      <c r="GV63" s="242"/>
      <c r="GW63" s="1993" t="str">
        <f t="shared" ref="GW63:HH63" si="470">IFERROR(GW255,"N/A")</f>
        <v>N/A</v>
      </c>
      <c r="GX63" s="1993" t="str">
        <f t="shared" si="470"/>
        <v>N/A</v>
      </c>
      <c r="GY63" s="1993" t="str">
        <f t="shared" si="470"/>
        <v>N/A</v>
      </c>
      <c r="GZ63" s="1993" t="str">
        <f t="shared" si="470"/>
        <v>N/A</v>
      </c>
      <c r="HA63" s="1993">
        <f t="shared" si="470"/>
        <v>0.24863935835004336</v>
      </c>
      <c r="HB63" s="1993">
        <f t="shared" si="470"/>
        <v>0.17940490081680258</v>
      </c>
      <c r="HC63" s="1993">
        <f t="shared" si="470"/>
        <v>0.15198580310880833</v>
      </c>
      <c r="HD63" s="1993">
        <f t="shared" si="470"/>
        <v>0.11244690806997353</v>
      </c>
      <c r="HE63" s="1993">
        <f t="shared" si="470"/>
        <v>0.18731492321465457</v>
      </c>
      <c r="HF63" s="1993">
        <f t="shared" si="470"/>
        <v>0.27363020456488862</v>
      </c>
      <c r="HG63" s="1993">
        <f t="shared" si="470"/>
        <v>0.29546652490207059</v>
      </c>
      <c r="HH63" s="1993">
        <f t="shared" si="470"/>
        <v>0.21852266368214918</v>
      </c>
      <c r="HI63" s="2317"/>
      <c r="HJ63" s="2065">
        <f t="shared" ref="HJ63:HO63" si="471">HJ255</f>
        <v>0.36297640653357571</v>
      </c>
      <c r="HK63" s="2068">
        <f t="shared" si="471"/>
        <v>0.10204369274136635</v>
      </c>
      <c r="HL63" s="2065">
        <f t="shared" si="471"/>
        <v>0.27363020456488862</v>
      </c>
      <c r="HM63" s="2068">
        <f t="shared" si="471"/>
        <v>0.17940490081680258</v>
      </c>
      <c r="HN63" s="2065">
        <f t="shared" si="471"/>
        <v>0.16054313099041562</v>
      </c>
      <c r="HO63" s="2115">
        <f t="shared" si="471"/>
        <v>0.11244690806997353</v>
      </c>
      <c r="HP63" s="1999"/>
      <c r="HQ63" s="310"/>
      <c r="HR63" s="310"/>
      <c r="HS63" s="310"/>
      <c r="HT63" s="310"/>
      <c r="HU63" s="310"/>
      <c r="HV63" s="310"/>
      <c r="HW63" s="310"/>
      <c r="HX63" s="310"/>
      <c r="HY63" s="310"/>
      <c r="HZ63" s="893"/>
      <c r="IA63" s="412" t="s">
        <v>918</v>
      </c>
      <c r="IB63" s="2065">
        <f t="shared" ref="IB63:IG64" si="472">HJ63</f>
        <v>0.36297640653357571</v>
      </c>
      <c r="IC63" s="2068">
        <f t="shared" si="472"/>
        <v>0.10204369274136635</v>
      </c>
      <c r="ID63" s="2065">
        <f t="shared" si="472"/>
        <v>0.27363020456488862</v>
      </c>
      <c r="IE63" s="2068">
        <f t="shared" si="472"/>
        <v>0.17940490081680258</v>
      </c>
      <c r="IF63" s="2065">
        <f t="shared" si="472"/>
        <v>0.16054313099041562</v>
      </c>
      <c r="IG63" s="2115">
        <f t="shared" si="472"/>
        <v>0.11244690806997353</v>
      </c>
      <c r="IH63" s="1220"/>
      <c r="II63" s="396"/>
      <c r="IX63" s="216" t="s">
        <v>181</v>
      </c>
      <c r="IY63" s="216"/>
      <c r="IZ63" s="1482">
        <f t="shared" ref="IZ63" si="473">SUM(IZ37:IZ38)-IZ35</f>
        <v>0</v>
      </c>
      <c r="JA63" s="1482">
        <f t="shared" ref="JA63:JB63" si="474">SUM(JA37:JA38)-JA35</f>
        <v>5.6843418860808015E-14</v>
      </c>
      <c r="JB63" s="1482">
        <f t="shared" si="474"/>
        <v>0</v>
      </c>
      <c r="JF63" s="216" t="s">
        <v>181</v>
      </c>
      <c r="JG63" s="1482">
        <f t="shared" ref="JG63" si="475">SUM(JG37:JG38)-JG35</f>
        <v>0</v>
      </c>
      <c r="JH63" s="1482">
        <f t="shared" ref="JH63:JI63" si="476">SUM(JH37:JH38)-JH35</f>
        <v>5.6843418860808015E-14</v>
      </c>
      <c r="JI63" s="1482">
        <f t="shared" si="476"/>
        <v>0</v>
      </c>
      <c r="JM63" s="216" t="s">
        <v>181</v>
      </c>
      <c r="JN63" s="1482">
        <f t="shared" ref="JN63" si="477">SUM(JN37:JN38)-JN35</f>
        <v>0</v>
      </c>
      <c r="JO63" s="1482">
        <f t="shared" ref="JO63:JP63" si="478">SUM(JO37:JO38)-JO35</f>
        <v>5.6843418860808015E-14</v>
      </c>
      <c r="JP63" s="1482">
        <f t="shared" si="478"/>
        <v>0</v>
      </c>
    </row>
    <row r="64" spans="2:277" s="396" customFormat="1" ht="11.25" customHeight="1" outlineLevel="1" x14ac:dyDescent="0.35">
      <c r="D64" s="216" t="s">
        <v>181</v>
      </c>
      <c r="E64" s="216"/>
      <c r="F64" s="250"/>
      <c r="G64" s="216">
        <f t="shared" ref="G64" si="479">SUM(G55:G56)-G53</f>
        <v>0</v>
      </c>
      <c r="H64" s="216">
        <f t="shared" ref="H64:R64" si="480">SUM(H55:H56)-H53</f>
        <v>0</v>
      </c>
      <c r="I64" s="216">
        <f t="shared" si="480"/>
        <v>0</v>
      </c>
      <c r="J64" s="216">
        <f t="shared" si="480"/>
        <v>0</v>
      </c>
      <c r="K64" s="216">
        <f t="shared" si="480"/>
        <v>0</v>
      </c>
      <c r="L64" s="216">
        <f t="shared" si="480"/>
        <v>0</v>
      </c>
      <c r="M64" s="216">
        <f t="shared" si="480"/>
        <v>0</v>
      </c>
      <c r="N64" s="216">
        <f t="shared" si="480"/>
        <v>0</v>
      </c>
      <c r="O64" s="216">
        <f t="shared" si="480"/>
        <v>0</v>
      </c>
      <c r="P64" s="216">
        <f t="shared" si="480"/>
        <v>0</v>
      </c>
      <c r="Q64" s="216">
        <f t="shared" si="480"/>
        <v>0</v>
      </c>
      <c r="R64" s="216">
        <f t="shared" si="480"/>
        <v>0</v>
      </c>
      <c r="S64" s="250"/>
      <c r="T64" s="216">
        <f t="shared" ref="T64:AE64" si="481">SUM(T55:T56)-T53</f>
        <v>0</v>
      </c>
      <c r="U64" s="216">
        <f t="shared" si="481"/>
        <v>0</v>
      </c>
      <c r="V64" s="216">
        <f t="shared" si="481"/>
        <v>0</v>
      </c>
      <c r="W64" s="216">
        <f t="shared" si="481"/>
        <v>0</v>
      </c>
      <c r="X64" s="216">
        <f t="shared" si="481"/>
        <v>0</v>
      </c>
      <c r="Y64" s="216">
        <f t="shared" si="481"/>
        <v>0</v>
      </c>
      <c r="Z64" s="216">
        <f t="shared" si="481"/>
        <v>0</v>
      </c>
      <c r="AA64" s="216">
        <f t="shared" si="481"/>
        <v>1.1213252548714081E-14</v>
      </c>
      <c r="AB64" s="216">
        <f t="shared" si="481"/>
        <v>0</v>
      </c>
      <c r="AC64" s="216">
        <f t="shared" si="481"/>
        <v>0</v>
      </c>
      <c r="AD64" s="216">
        <f t="shared" si="481"/>
        <v>0</v>
      </c>
      <c r="AE64" s="216">
        <f t="shared" si="481"/>
        <v>1.1213252548714081E-14</v>
      </c>
      <c r="AV64" s="216" t="s">
        <v>181</v>
      </c>
      <c r="AW64" s="216"/>
      <c r="AX64" s="216">
        <f>SUM(AX55:AX56)-AX53</f>
        <v>0</v>
      </c>
      <c r="AY64" s="216">
        <f t="shared" ref="AY64:BC64" si="482">SUM(AY55:AY56)-AY53</f>
        <v>0</v>
      </c>
      <c r="AZ64" s="216">
        <f t="shared" si="482"/>
        <v>0</v>
      </c>
      <c r="BA64" s="216">
        <f t="shared" si="482"/>
        <v>0</v>
      </c>
      <c r="BB64" s="216">
        <f t="shared" si="482"/>
        <v>0</v>
      </c>
      <c r="BC64" s="216">
        <f t="shared" si="482"/>
        <v>0</v>
      </c>
      <c r="BE64" s="216" t="s">
        <v>181</v>
      </c>
      <c r="BF64" s="216"/>
      <c r="BG64" s="216">
        <f>SUM(BG55:BG56)-BG53</f>
        <v>0</v>
      </c>
      <c r="BH64" s="216">
        <f t="shared" ref="BH64:BL64" si="483">SUM(BH55:BH56)-BH53</f>
        <v>0</v>
      </c>
      <c r="BI64" s="216">
        <f t="shared" si="483"/>
        <v>0</v>
      </c>
      <c r="BJ64" s="216">
        <f t="shared" si="483"/>
        <v>0</v>
      </c>
      <c r="BK64" s="216">
        <f t="shared" si="483"/>
        <v>0</v>
      </c>
      <c r="BL64" s="216">
        <f t="shared" si="483"/>
        <v>0</v>
      </c>
      <c r="CC64" s="269"/>
      <c r="CD64" s="269"/>
      <c r="CI64" s="216" t="s">
        <v>181</v>
      </c>
      <c r="CJ64" s="216"/>
      <c r="CK64" s="216">
        <f>SUM(CK55:CK56)-CK53</f>
        <v>0</v>
      </c>
      <c r="CL64" s="216">
        <f t="shared" ref="CL64:CV64" si="484">SUM(CL55:CL56)-CL53</f>
        <v>0</v>
      </c>
      <c r="CM64" s="216">
        <f t="shared" si="484"/>
        <v>0</v>
      </c>
      <c r="CN64" s="216">
        <f t="shared" si="484"/>
        <v>0</v>
      </c>
      <c r="CO64" s="216">
        <f t="shared" si="484"/>
        <v>0</v>
      </c>
      <c r="CP64" s="216">
        <f t="shared" si="484"/>
        <v>0</v>
      </c>
      <c r="CQ64" s="216">
        <f t="shared" si="484"/>
        <v>0</v>
      </c>
      <c r="CR64" s="216">
        <f t="shared" si="484"/>
        <v>0</v>
      </c>
      <c r="CS64" s="216">
        <f t="shared" si="484"/>
        <v>0</v>
      </c>
      <c r="CT64" s="216">
        <f t="shared" si="484"/>
        <v>0</v>
      </c>
      <c r="CU64" s="216">
        <f t="shared" si="484"/>
        <v>0</v>
      </c>
      <c r="CV64" s="216">
        <f t="shared" si="484"/>
        <v>0</v>
      </c>
      <c r="DL64" s="821"/>
      <c r="DY64" s="216" t="s">
        <v>181</v>
      </c>
      <c r="EA64" s="216">
        <f t="shared" ref="EA64:EF64" si="485">SUM(EA55:EA56)-EA53</f>
        <v>0</v>
      </c>
      <c r="EB64" s="216">
        <f t="shared" si="485"/>
        <v>0</v>
      </c>
      <c r="EC64" s="216">
        <f t="shared" si="485"/>
        <v>0</v>
      </c>
      <c r="ED64" s="216">
        <f t="shared" si="485"/>
        <v>0</v>
      </c>
      <c r="EE64" s="216">
        <f t="shared" si="485"/>
        <v>0</v>
      </c>
      <c r="EF64" s="216">
        <f t="shared" si="485"/>
        <v>0</v>
      </c>
      <c r="EK64" s="216" t="s">
        <v>181</v>
      </c>
      <c r="EL64" s="216"/>
      <c r="EM64" s="216">
        <f t="shared" ref="EM64:ER64" si="486">SUM(EM55:EM56)-EM53</f>
        <v>0</v>
      </c>
      <c r="EN64" s="216">
        <f t="shared" si="486"/>
        <v>0</v>
      </c>
      <c r="EO64" s="216">
        <f t="shared" si="486"/>
        <v>0</v>
      </c>
      <c r="EP64" s="216">
        <f t="shared" si="486"/>
        <v>0</v>
      </c>
      <c r="EQ64" s="216">
        <f t="shared" si="486"/>
        <v>0</v>
      </c>
      <c r="ER64" s="216">
        <f t="shared" si="486"/>
        <v>0</v>
      </c>
      <c r="EV64" s="409"/>
      <c r="EW64" s="259"/>
      <c r="EX64" s="259"/>
      <c r="EY64" s="259"/>
      <c r="EZ64" s="259"/>
      <c r="FA64" s="259"/>
      <c r="FB64" s="259"/>
      <c r="FC64" s="259"/>
      <c r="FD64" s="259"/>
      <c r="FE64" s="259"/>
      <c r="FF64" s="259"/>
      <c r="FG64" s="259"/>
      <c r="FH64" s="259"/>
      <c r="FI64" s="259"/>
      <c r="FJ64" s="259"/>
      <c r="FK64" s="259"/>
      <c r="FL64" s="259"/>
      <c r="FM64" s="259"/>
      <c r="FN64" s="259"/>
      <c r="FO64" s="259"/>
      <c r="FP64" s="259"/>
      <c r="FQ64" s="259"/>
      <c r="FR64" s="259"/>
      <c r="FS64" s="259"/>
      <c r="FT64" s="259"/>
      <c r="FU64" s="259"/>
      <c r="FV64" s="259"/>
      <c r="FW64" s="259"/>
      <c r="FX64" s="259"/>
      <c r="FY64" s="259"/>
      <c r="FZ64" s="259"/>
      <c r="GA64" s="259"/>
      <c r="GB64" s="259"/>
      <c r="GC64" s="259"/>
      <c r="GD64" s="259"/>
      <c r="GE64" s="259"/>
      <c r="GF64" s="259"/>
      <c r="GG64" s="259"/>
      <c r="GH64" s="259"/>
      <c r="GI64" s="259"/>
      <c r="GJ64" s="259"/>
      <c r="GK64" s="259"/>
      <c r="GL64" s="259"/>
      <c r="GM64" s="259"/>
      <c r="GN64" s="259"/>
      <c r="GO64" s="259"/>
      <c r="GP64" s="259"/>
      <c r="GQ64" s="259"/>
      <c r="GR64" s="259"/>
      <c r="GS64" s="310"/>
      <c r="GT64" s="1293"/>
      <c r="GU64" s="412" t="s">
        <v>343</v>
      </c>
      <c r="GV64" s="242"/>
      <c r="GW64" s="1993" t="str">
        <f t="shared" ref="GW64:HH64" si="487">IFERROR(GW234,"N/A")</f>
        <v>N/A</v>
      </c>
      <c r="GX64" s="1993" t="str">
        <f t="shared" si="487"/>
        <v>N/A</v>
      </c>
      <c r="GY64" s="1993" t="str">
        <f t="shared" si="487"/>
        <v>N/A</v>
      </c>
      <c r="GZ64" s="1993" t="str">
        <f t="shared" si="487"/>
        <v>N/A</v>
      </c>
      <c r="HA64" s="1993">
        <f t="shared" si="487"/>
        <v>0.29501736007813489</v>
      </c>
      <c r="HB64" s="1993">
        <f t="shared" si="487"/>
        <v>0.23344007978195014</v>
      </c>
      <c r="HC64" s="1993">
        <f t="shared" si="487"/>
        <v>0.19359572267498265</v>
      </c>
      <c r="HD64" s="1993">
        <f t="shared" si="487"/>
        <v>0.17016119074905087</v>
      </c>
      <c r="HE64" s="1993">
        <f t="shared" si="487"/>
        <v>0.21074678636363631</v>
      </c>
      <c r="HF64" s="1993">
        <f t="shared" si="487"/>
        <v>0.29972254819904465</v>
      </c>
      <c r="HG64" s="1993" t="str">
        <f t="shared" si="487"/>
        <v>N/A</v>
      </c>
      <c r="HH64" s="1993" t="str">
        <f t="shared" si="487"/>
        <v>N/A</v>
      </c>
      <c r="HJ64" s="926">
        <f t="shared" ref="HJ64:HO64" si="488">HJ234</f>
        <v>0.39082648162912587</v>
      </c>
      <c r="HK64" s="241">
        <f t="shared" si="488"/>
        <v>0.17013118589349044</v>
      </c>
      <c r="HL64" s="926">
        <f t="shared" si="488"/>
        <v>0.29972254819904465</v>
      </c>
      <c r="HM64" s="241">
        <f t="shared" si="488"/>
        <v>0.23344007978195014</v>
      </c>
      <c r="HN64" s="926">
        <f t="shared" si="488"/>
        <v>0.21526494532860307</v>
      </c>
      <c r="HO64" s="2020">
        <f t="shared" si="488"/>
        <v>0.17016119074905087</v>
      </c>
      <c r="HP64" s="1999"/>
      <c r="HQ64" s="310"/>
      <c r="HR64" s="310"/>
      <c r="HS64" s="310"/>
      <c r="HT64" s="310"/>
      <c r="HU64" s="310"/>
      <c r="HV64" s="310"/>
      <c r="HW64" s="310"/>
      <c r="HX64" s="310"/>
      <c r="HY64" s="310"/>
      <c r="HZ64" s="2"/>
      <c r="IA64" s="412" t="s">
        <v>344</v>
      </c>
      <c r="IB64" s="2065">
        <f t="shared" si="472"/>
        <v>0.39082648162912587</v>
      </c>
      <c r="IC64" s="2068">
        <f t="shared" si="472"/>
        <v>0.17013118589349044</v>
      </c>
      <c r="ID64" s="2065">
        <f t="shared" si="472"/>
        <v>0.29972254819904465</v>
      </c>
      <c r="IE64" s="241">
        <f t="shared" si="472"/>
        <v>0.23344007978195014</v>
      </c>
      <c r="IF64" s="2065">
        <f t="shared" si="472"/>
        <v>0.21526494532860307</v>
      </c>
      <c r="IG64" s="2020">
        <f t="shared" si="472"/>
        <v>0.17016119074905087</v>
      </c>
      <c r="IH64" s="1150"/>
      <c r="II64" s="409"/>
      <c r="IX64" s="216" t="s">
        <v>181</v>
      </c>
      <c r="IY64" s="216"/>
      <c r="IZ64" s="1482">
        <f t="shared" ref="IZ64" si="489">SUM(IZ55:IZ56)-IZ53</f>
        <v>0</v>
      </c>
      <c r="JA64" s="1482">
        <f t="shared" ref="JA64:JB64" si="490">SUM(JA55:JA56)-JA53</f>
        <v>0</v>
      </c>
      <c r="JB64" s="1482">
        <f t="shared" si="490"/>
        <v>0</v>
      </c>
      <c r="JF64" s="216" t="s">
        <v>181</v>
      </c>
      <c r="JG64" s="1482">
        <f t="shared" ref="JG64" si="491">SUM(JG55:JG56)-JG53</f>
        <v>0</v>
      </c>
      <c r="JH64" s="1482">
        <f t="shared" ref="JH64:JI64" si="492">SUM(JH55:JH56)-JH53</f>
        <v>0</v>
      </c>
      <c r="JI64" s="1482">
        <f t="shared" si="492"/>
        <v>0</v>
      </c>
      <c r="JM64" s="216" t="s">
        <v>181</v>
      </c>
      <c r="JN64" s="1482">
        <f t="shared" ref="JN64" si="493">SUM(JN55:JN56)-JN53</f>
        <v>0</v>
      </c>
      <c r="JO64" s="1482">
        <f t="shared" ref="JO64:JP64" si="494">SUM(JO55:JO56)-JO53</f>
        <v>0</v>
      </c>
      <c r="JP64" s="1482">
        <f t="shared" si="494"/>
        <v>0</v>
      </c>
    </row>
    <row r="65" spans="2:276" s="396" customFormat="1" ht="11.25" customHeight="1" outlineLevel="1" x14ac:dyDescent="0.2">
      <c r="D65" s="216" t="s">
        <v>181</v>
      </c>
      <c r="E65" s="1340"/>
      <c r="G65" s="983">
        <f>(G45+G52)-G53</f>
        <v>0</v>
      </c>
      <c r="H65" s="983">
        <f t="shared" ref="H65:R65" si="495">(H45+H52)-H53</f>
        <v>0</v>
      </c>
      <c r="I65" s="983">
        <f t="shared" si="495"/>
        <v>0</v>
      </c>
      <c r="J65" s="983">
        <f t="shared" si="495"/>
        <v>0</v>
      </c>
      <c r="K65" s="983">
        <f t="shared" si="495"/>
        <v>0</v>
      </c>
      <c r="L65" s="983">
        <f t="shared" si="495"/>
        <v>0</v>
      </c>
      <c r="M65" s="983">
        <f t="shared" si="495"/>
        <v>0</v>
      </c>
      <c r="N65" s="983">
        <f t="shared" si="495"/>
        <v>0</v>
      </c>
      <c r="O65" s="983">
        <f t="shared" si="495"/>
        <v>0</v>
      </c>
      <c r="P65" s="983">
        <f t="shared" si="495"/>
        <v>0</v>
      </c>
      <c r="Q65" s="983">
        <f t="shared" si="495"/>
        <v>0</v>
      </c>
      <c r="R65" s="983">
        <f t="shared" si="495"/>
        <v>0</v>
      </c>
      <c r="T65" s="983">
        <f>(T45+T52)-T53</f>
        <v>0</v>
      </c>
      <c r="U65" s="983">
        <f t="shared" ref="U65:AE65" si="496">(U45+U52)-U53</f>
        <v>0</v>
      </c>
      <c r="V65" s="983">
        <f t="shared" si="496"/>
        <v>0</v>
      </c>
      <c r="W65" s="983">
        <f t="shared" si="496"/>
        <v>0</v>
      </c>
      <c r="X65" s="983">
        <f t="shared" si="496"/>
        <v>0</v>
      </c>
      <c r="Y65" s="983">
        <f t="shared" si="496"/>
        <v>0</v>
      </c>
      <c r="Z65" s="983">
        <f t="shared" si="496"/>
        <v>0</v>
      </c>
      <c r="AA65" s="983">
        <f t="shared" si="496"/>
        <v>0</v>
      </c>
      <c r="AB65" s="983">
        <f t="shared" si="496"/>
        <v>0</v>
      </c>
      <c r="AC65" s="983">
        <f t="shared" si="496"/>
        <v>0</v>
      </c>
      <c r="AD65" s="983">
        <f t="shared" si="496"/>
        <v>0</v>
      </c>
      <c r="AE65" s="983">
        <f t="shared" si="496"/>
        <v>0</v>
      </c>
      <c r="AV65" s="216" t="s">
        <v>181</v>
      </c>
      <c r="AW65" s="216"/>
      <c r="AX65" s="983">
        <f t="shared" ref="AX65:BC65" si="497">(AX45+AX52)-AX53</f>
        <v>0</v>
      </c>
      <c r="AY65" s="983">
        <f t="shared" si="497"/>
        <v>0</v>
      </c>
      <c r="AZ65" s="983">
        <f t="shared" si="497"/>
        <v>0</v>
      </c>
      <c r="BA65" s="983">
        <f t="shared" si="497"/>
        <v>0</v>
      </c>
      <c r="BB65" s="983">
        <f t="shared" si="497"/>
        <v>0</v>
      </c>
      <c r="BC65" s="983">
        <f t="shared" si="497"/>
        <v>0</v>
      </c>
      <c r="BE65" s="216" t="s">
        <v>181</v>
      </c>
      <c r="BF65" s="216"/>
      <c r="BG65" s="983">
        <f t="shared" ref="BG65:BL65" si="498">(BG45+BG52)-BG53</f>
        <v>0</v>
      </c>
      <c r="BH65" s="983">
        <f t="shared" si="498"/>
        <v>0</v>
      </c>
      <c r="BI65" s="983">
        <f t="shared" si="498"/>
        <v>0</v>
      </c>
      <c r="BJ65" s="983">
        <f t="shared" si="498"/>
        <v>0</v>
      </c>
      <c r="BK65" s="983">
        <f t="shared" si="498"/>
        <v>0</v>
      </c>
      <c r="BL65" s="983">
        <f t="shared" si="498"/>
        <v>0</v>
      </c>
      <c r="BQ65" s="398"/>
      <c r="CI65" s="216" t="s">
        <v>181</v>
      </c>
      <c r="CJ65" s="216"/>
      <c r="CK65" s="983">
        <f t="shared" ref="CK65:CV65" si="499">(CK45+CK52)-CK53</f>
        <v>0</v>
      </c>
      <c r="CL65" s="983">
        <f t="shared" si="499"/>
        <v>0</v>
      </c>
      <c r="CM65" s="983">
        <f t="shared" si="499"/>
        <v>0</v>
      </c>
      <c r="CN65" s="983">
        <f t="shared" si="499"/>
        <v>0</v>
      </c>
      <c r="CO65" s="983">
        <f t="shared" si="499"/>
        <v>0</v>
      </c>
      <c r="CP65" s="983">
        <f t="shared" si="499"/>
        <v>0</v>
      </c>
      <c r="CQ65" s="983">
        <f t="shared" si="499"/>
        <v>0</v>
      </c>
      <c r="CR65" s="983">
        <f t="shared" si="499"/>
        <v>0</v>
      </c>
      <c r="CS65" s="983">
        <f t="shared" si="499"/>
        <v>0</v>
      </c>
      <c r="CT65" s="983">
        <f t="shared" si="499"/>
        <v>0</v>
      </c>
      <c r="CU65" s="983">
        <f t="shared" si="499"/>
        <v>0</v>
      </c>
      <c r="CV65" s="983">
        <f t="shared" si="499"/>
        <v>0</v>
      </c>
      <c r="DL65" s="821"/>
      <c r="DY65" s="216" t="s">
        <v>181</v>
      </c>
      <c r="EA65" s="983">
        <f t="shared" ref="EA65:EF65" si="500">(EA45+EA52)-EA53</f>
        <v>0</v>
      </c>
      <c r="EB65" s="983">
        <f t="shared" si="500"/>
        <v>0</v>
      </c>
      <c r="EC65" s="983">
        <f t="shared" si="500"/>
        <v>0</v>
      </c>
      <c r="ED65" s="983">
        <f t="shared" si="500"/>
        <v>0</v>
      </c>
      <c r="EE65" s="983">
        <f t="shared" si="500"/>
        <v>0</v>
      </c>
      <c r="EF65" s="983">
        <f t="shared" si="500"/>
        <v>0</v>
      </c>
      <c r="EK65" s="216" t="s">
        <v>181</v>
      </c>
      <c r="EL65" s="216"/>
      <c r="EM65" s="983">
        <f t="shared" ref="EM65:ER65" si="501">(EM45+EM52)-EM53</f>
        <v>0</v>
      </c>
      <c r="EN65" s="983">
        <f t="shared" si="501"/>
        <v>0</v>
      </c>
      <c r="EO65" s="983">
        <f t="shared" si="501"/>
        <v>0</v>
      </c>
      <c r="EP65" s="983">
        <f t="shared" si="501"/>
        <v>0</v>
      </c>
      <c r="EQ65" s="983">
        <f t="shared" si="501"/>
        <v>0</v>
      </c>
      <c r="ER65" s="983">
        <f t="shared" si="501"/>
        <v>0</v>
      </c>
      <c r="EW65" s="352"/>
      <c r="EX65" s="352"/>
      <c r="EY65" s="352"/>
      <c r="EZ65" s="352"/>
      <c r="FA65" s="352"/>
      <c r="FB65" s="352"/>
      <c r="FC65" s="352"/>
      <c r="FD65" s="352"/>
      <c r="FE65" s="352"/>
      <c r="FF65" s="352"/>
      <c r="FG65" s="352"/>
      <c r="FH65" s="352"/>
      <c r="FI65" s="352"/>
      <c r="FJ65" s="352"/>
      <c r="FK65" s="352"/>
      <c r="FL65" s="352"/>
      <c r="FM65" s="352"/>
      <c r="FN65" s="259"/>
      <c r="FO65" s="259"/>
      <c r="FP65" s="259"/>
      <c r="FQ65" s="259"/>
      <c r="FR65" s="259"/>
      <c r="FS65" s="259"/>
      <c r="FT65" s="259"/>
      <c r="FU65" s="259"/>
      <c r="FV65" s="259"/>
      <c r="FW65" s="259"/>
      <c r="FX65" s="259"/>
      <c r="FY65" s="259"/>
      <c r="FZ65" s="259"/>
      <c r="GA65" s="259"/>
      <c r="GB65" s="259"/>
      <c r="GC65" s="259"/>
      <c r="GD65" s="259"/>
      <c r="GE65" s="259"/>
      <c r="GF65" s="259"/>
      <c r="GG65" s="259"/>
      <c r="GH65" s="259"/>
      <c r="GI65" s="259"/>
      <c r="GJ65" s="259"/>
      <c r="GK65" s="259"/>
      <c r="GL65" s="259"/>
      <c r="GM65" s="259"/>
      <c r="GN65" s="259"/>
      <c r="GO65" s="259"/>
      <c r="GP65" s="259"/>
      <c r="GQ65" s="259"/>
      <c r="GR65" s="259"/>
      <c r="GS65" s="310"/>
      <c r="GT65" s="1294"/>
      <c r="GU65" s="412"/>
      <c r="GV65" s="242"/>
      <c r="GW65" s="413"/>
      <c r="GX65" s="413"/>
      <c r="GY65" s="413"/>
      <c r="GZ65" s="413"/>
      <c r="HA65" s="413"/>
      <c r="HB65" s="413"/>
      <c r="HC65" s="413"/>
      <c r="HD65" s="413"/>
      <c r="HE65" s="413"/>
      <c r="HF65" s="413"/>
      <c r="HG65" s="413"/>
      <c r="HH65" s="413"/>
      <c r="HI65" s="409"/>
      <c r="HJ65" s="928"/>
      <c r="HK65" s="413"/>
      <c r="HL65" s="928"/>
      <c r="HM65" s="413"/>
      <c r="HN65" s="928"/>
      <c r="HO65" s="2019"/>
      <c r="HP65" s="1999"/>
      <c r="HQ65" s="310"/>
      <c r="HR65" s="310"/>
      <c r="HS65" s="310"/>
      <c r="HT65" s="310"/>
      <c r="HU65" s="310"/>
      <c r="HV65" s="310"/>
      <c r="HW65" s="310"/>
      <c r="HX65" s="310"/>
      <c r="HY65" s="310"/>
      <c r="HZ65" s="2"/>
      <c r="IA65" s="412"/>
      <c r="IB65" s="928"/>
      <c r="IC65" s="413"/>
      <c r="ID65" s="928"/>
      <c r="IE65" s="413"/>
      <c r="IF65" s="928"/>
      <c r="IG65" s="2019"/>
      <c r="IH65" s="1219"/>
      <c r="IX65" s="216" t="s">
        <v>181</v>
      </c>
      <c r="IY65" s="216"/>
      <c r="IZ65" s="983">
        <f t="shared" ref="IZ65" si="502">(IZ45+IZ52)-IZ53</f>
        <v>0</v>
      </c>
      <c r="JA65" s="983">
        <f t="shared" ref="JA65:JB65" si="503">(JA45+JA52)-JA53</f>
        <v>0</v>
      </c>
      <c r="JB65" s="983">
        <f t="shared" si="503"/>
        <v>0</v>
      </c>
      <c r="JF65" s="216" t="s">
        <v>181</v>
      </c>
      <c r="JG65" s="983">
        <f t="shared" ref="JG65" si="504">(JG45+JG52)-JG53</f>
        <v>0</v>
      </c>
      <c r="JH65" s="983">
        <f t="shared" ref="JH65:JI65" si="505">(JH45+JH52)-JH53</f>
        <v>0</v>
      </c>
      <c r="JI65" s="983">
        <f t="shared" si="505"/>
        <v>0</v>
      </c>
      <c r="JM65" s="216" t="s">
        <v>181</v>
      </c>
      <c r="JN65" s="983">
        <f t="shared" ref="JN65" si="506">(JN45+JN52)-JN53</f>
        <v>0</v>
      </c>
      <c r="JO65" s="983">
        <f t="shared" ref="JO65:JP65" si="507">(JO45+JO52)-JO53</f>
        <v>0</v>
      </c>
      <c r="JP65" s="983">
        <f t="shared" si="507"/>
        <v>0</v>
      </c>
    </row>
    <row r="66" spans="2:276" s="396" customFormat="1" ht="11.25" customHeight="1" outlineLevel="1" x14ac:dyDescent="0.35">
      <c r="B66" s="250"/>
      <c r="C66" s="250"/>
      <c r="BQ66" s="398"/>
      <c r="CI66" s="216" t="s">
        <v>181</v>
      </c>
      <c r="CJ66" s="216"/>
      <c r="CK66" s="983">
        <f>SUM(CK40:CK41)-CK42</f>
        <v>0</v>
      </c>
      <c r="CL66" s="983">
        <f t="shared" ref="CL66:CV66" si="508">SUM(CL40:CL41)-CL42</f>
        <v>0</v>
      </c>
      <c r="CM66" s="983">
        <f t="shared" si="508"/>
        <v>0</v>
      </c>
      <c r="CN66" s="983">
        <f t="shared" si="508"/>
        <v>0</v>
      </c>
      <c r="CO66" s="983">
        <f t="shared" si="508"/>
        <v>0</v>
      </c>
      <c r="CP66" s="983">
        <f t="shared" si="508"/>
        <v>0</v>
      </c>
      <c r="CQ66" s="983">
        <f t="shared" si="508"/>
        <v>0</v>
      </c>
      <c r="CR66" s="983">
        <f t="shared" si="508"/>
        <v>0</v>
      </c>
      <c r="CS66" s="983">
        <f t="shared" si="508"/>
        <v>0</v>
      </c>
      <c r="CT66" s="983">
        <f t="shared" si="508"/>
        <v>0</v>
      </c>
      <c r="CU66" s="983" t="e">
        <f t="shared" si="508"/>
        <v>#DIV/0!</v>
      </c>
      <c r="CV66" s="983" t="e">
        <f t="shared" si="508"/>
        <v>#DIV/0!</v>
      </c>
      <c r="DY66" s="216" t="s">
        <v>181</v>
      </c>
      <c r="EA66" s="983">
        <f t="shared" ref="EA66:EF66" si="509">SUM(EA40:EA41)-EA42</f>
        <v>0</v>
      </c>
      <c r="EB66" s="983">
        <f t="shared" si="509"/>
        <v>0</v>
      </c>
      <c r="EC66" s="983">
        <f t="shared" si="509"/>
        <v>0</v>
      </c>
      <c r="ED66" s="983">
        <f t="shared" si="509"/>
        <v>0</v>
      </c>
      <c r="EE66" s="983">
        <f t="shared" si="509"/>
        <v>0</v>
      </c>
      <c r="EF66" s="983">
        <f t="shared" si="509"/>
        <v>-7.4940054162198066E-16</v>
      </c>
      <c r="EK66" s="216" t="s">
        <v>181</v>
      </c>
      <c r="EL66" s="216"/>
      <c r="EM66" s="983">
        <f t="shared" ref="EM66:ER66" si="510">SUM(EM40:EM41)-EM42</f>
        <v>0</v>
      </c>
      <c r="EN66" s="983">
        <f t="shared" si="510"/>
        <v>0</v>
      </c>
      <c r="EO66" s="983">
        <f t="shared" si="510"/>
        <v>0</v>
      </c>
      <c r="EP66" s="983">
        <f t="shared" si="510"/>
        <v>0</v>
      </c>
      <c r="EQ66" s="983">
        <f t="shared" si="510"/>
        <v>0</v>
      </c>
      <c r="ER66" s="983">
        <f t="shared" si="510"/>
        <v>-7.4940054162198066E-16</v>
      </c>
      <c r="EW66" s="259"/>
      <c r="EX66" s="259"/>
      <c r="EY66" s="259"/>
      <c r="EZ66" s="259"/>
      <c r="FA66" s="259"/>
      <c r="FB66" s="259"/>
      <c r="FC66" s="259"/>
      <c r="FD66" s="259"/>
      <c r="FE66" s="259"/>
      <c r="FF66" s="259"/>
      <c r="FG66" s="259"/>
      <c r="FH66" s="259"/>
      <c r="FI66" s="259"/>
      <c r="FJ66" s="259"/>
      <c r="FK66" s="259"/>
      <c r="FL66" s="259"/>
      <c r="FM66" s="259"/>
      <c r="FN66" s="259"/>
      <c r="FO66" s="259"/>
      <c r="FP66" s="259"/>
      <c r="FQ66" s="259"/>
      <c r="FR66" s="259"/>
      <c r="FS66" s="259"/>
      <c r="FT66" s="259"/>
      <c r="FU66" s="259"/>
      <c r="FV66" s="259"/>
      <c r="FW66" s="259"/>
      <c r="FX66" s="259"/>
      <c r="FY66" s="259"/>
      <c r="FZ66" s="259"/>
      <c r="GA66" s="259"/>
      <c r="GB66" s="259"/>
      <c r="GC66" s="259"/>
      <c r="GD66" s="259"/>
      <c r="GE66" s="259"/>
      <c r="GF66" s="259"/>
      <c r="GG66" s="259"/>
      <c r="GH66" s="259"/>
      <c r="GI66" s="259"/>
      <c r="GJ66" s="259"/>
      <c r="GK66" s="259"/>
      <c r="GL66" s="259"/>
      <c r="GM66" s="259"/>
      <c r="GN66" s="259"/>
      <c r="GO66" s="259"/>
      <c r="GP66" s="259"/>
      <c r="GQ66" s="259"/>
      <c r="GR66" s="259"/>
      <c r="GS66" s="310"/>
      <c r="GT66" s="1294"/>
      <c r="GU66" s="412" t="s">
        <v>304</v>
      </c>
      <c r="GV66" s="242"/>
      <c r="GW66" s="1992">
        <f>'Koncern BR'!H41</f>
        <v>1492</v>
      </c>
      <c r="GX66" s="1992">
        <f>'Koncern BR'!I41</f>
        <v>1490.5</v>
      </c>
      <c r="GY66" s="1992">
        <f>'Koncern BR'!J41</f>
        <v>1417.6999999999998</v>
      </c>
      <c r="GZ66" s="1992">
        <f>'Koncern BR'!K41</f>
        <v>1357.8999999999999</v>
      </c>
      <c r="HA66" s="1992">
        <f>'Koncern BR'!L41</f>
        <v>1464.6999999999998</v>
      </c>
      <c r="HB66" s="1992">
        <f>'Koncern BR'!M41</f>
        <v>1473.3</v>
      </c>
      <c r="HC66" s="1992">
        <f>'Koncern BR'!N41</f>
        <v>1467.8</v>
      </c>
      <c r="HD66" s="1992">
        <f>'Koncern BR'!O41</f>
        <v>1400.6</v>
      </c>
      <c r="HE66" s="1992">
        <f>'Koncern BR'!P41</f>
        <v>1456.3</v>
      </c>
      <c r="HF66" s="1992">
        <f>'Koncern BR'!Q41</f>
        <v>1478.1999999999998</v>
      </c>
      <c r="HG66" s="1992">
        <f>'Koncern BR'!R41</f>
        <v>0</v>
      </c>
      <c r="HH66" s="1992">
        <f>'Koncern BR'!S41</f>
        <v>0</v>
      </c>
      <c r="HJ66" s="925">
        <f>HF66</f>
        <v>1478.1999999999998</v>
      </c>
      <c r="HK66" s="924">
        <f>HB66</f>
        <v>1473.3</v>
      </c>
      <c r="HL66" s="925">
        <f>HF66</f>
        <v>1478.1999999999998</v>
      </c>
      <c r="HM66" s="924">
        <f>HB66</f>
        <v>1473.3</v>
      </c>
      <c r="HN66" s="925">
        <f>HF66</f>
        <v>1478.1999999999998</v>
      </c>
      <c r="HO66" s="1575">
        <f>HD66</f>
        <v>1400.6</v>
      </c>
      <c r="HP66" s="1999"/>
      <c r="HQ66" s="310"/>
      <c r="HR66" s="310"/>
      <c r="HS66" s="310"/>
      <c r="HT66" s="310"/>
      <c r="HU66" s="310"/>
      <c r="HV66" s="310"/>
      <c r="HW66" s="310"/>
      <c r="HX66" s="310"/>
      <c r="HY66" s="310"/>
      <c r="HZ66" s="2"/>
      <c r="IA66" s="412" t="s">
        <v>305</v>
      </c>
      <c r="IB66" s="925">
        <f t="shared" ref="IB66:IG72" si="511">HJ66</f>
        <v>1478.1999999999998</v>
      </c>
      <c r="IC66" s="924">
        <f t="shared" si="511"/>
        <v>1473.3</v>
      </c>
      <c r="ID66" s="925">
        <f t="shared" si="511"/>
        <v>1478.1999999999998</v>
      </c>
      <c r="IE66" s="924">
        <f t="shared" si="511"/>
        <v>1473.3</v>
      </c>
      <c r="IF66" s="925">
        <f t="shared" si="511"/>
        <v>1478.1999999999998</v>
      </c>
      <c r="IG66" s="1575">
        <f t="shared" si="511"/>
        <v>1400.6</v>
      </c>
      <c r="IH66" s="1219"/>
      <c r="JG66" s="402"/>
      <c r="JH66" s="402"/>
      <c r="JI66" s="402"/>
      <c r="JN66" s="402"/>
      <c r="JO66" s="402"/>
      <c r="JP66" s="402"/>
    </row>
    <row r="67" spans="2:276" s="396" customFormat="1" ht="11.25" customHeight="1" outlineLevel="1" x14ac:dyDescent="0.35">
      <c r="B67" s="250"/>
      <c r="C67" s="250"/>
      <c r="BQ67" s="398"/>
      <c r="CI67" s="216" t="s">
        <v>181</v>
      </c>
      <c r="CJ67" s="216"/>
      <c r="CK67" s="1625">
        <f>CK38-T38</f>
        <v>-2.3000000000000131E-2</v>
      </c>
      <c r="CL67" s="1625">
        <f t="shared" ref="CL67:CV67" si="512">CL38-U38</f>
        <v>-1.2999999999999456E-2</v>
      </c>
      <c r="CM67" s="1625">
        <f t="shared" si="512"/>
        <v>2.6999999999999247E-2</v>
      </c>
      <c r="CN67" s="1625">
        <f t="shared" si="512"/>
        <v>3.9999999999995595E-3</v>
      </c>
      <c r="CO67" s="1625">
        <f t="shared" si="512"/>
        <v>-7.0000000000001172E-3</v>
      </c>
      <c r="CP67" s="1625">
        <f t="shared" si="512"/>
        <v>6.0000000000002274E-3</v>
      </c>
      <c r="CQ67" s="1625">
        <f t="shared" si="512"/>
        <v>4.3000000000000149E-2</v>
      </c>
      <c r="CR67" s="1625">
        <f t="shared" si="512"/>
        <v>-5.699999999999994E-2</v>
      </c>
      <c r="CS67" s="1625">
        <f t="shared" si="512"/>
        <v>2.9999999999998916E-3</v>
      </c>
      <c r="CT67" s="1625">
        <f t="shared" si="512"/>
        <v>3.7000000000000144E-2</v>
      </c>
      <c r="CU67" s="1625">
        <f t="shared" si="512"/>
        <v>-1.1999999999999997</v>
      </c>
      <c r="CV67" s="1625">
        <f t="shared" si="512"/>
        <v>-0.79999999999999982</v>
      </c>
      <c r="EW67" s="259"/>
      <c r="EX67" s="259"/>
      <c r="EY67" s="259"/>
      <c r="EZ67" s="259"/>
      <c r="FA67" s="259"/>
      <c r="FB67" s="259"/>
      <c r="FC67" s="259"/>
      <c r="FD67" s="259"/>
      <c r="FE67" s="259"/>
      <c r="FF67" s="259"/>
      <c r="FG67" s="259"/>
      <c r="FH67" s="259"/>
      <c r="FI67" s="259"/>
      <c r="FJ67" s="259"/>
      <c r="FK67" s="259"/>
      <c r="FL67" s="259"/>
      <c r="FM67" s="259"/>
      <c r="FN67" s="259"/>
      <c r="FO67" s="259"/>
      <c r="FP67" s="259"/>
      <c r="FQ67" s="259"/>
      <c r="FR67" s="259"/>
      <c r="FS67" s="259"/>
      <c r="FT67" s="259"/>
      <c r="FU67" s="259"/>
      <c r="FV67" s="259"/>
      <c r="FW67" s="259"/>
      <c r="FX67" s="259"/>
      <c r="FY67" s="259"/>
      <c r="FZ67" s="259"/>
      <c r="GA67" s="259"/>
      <c r="GB67" s="259"/>
      <c r="GC67" s="259"/>
      <c r="GD67" s="259"/>
      <c r="GE67" s="259"/>
      <c r="GF67" s="259"/>
      <c r="GG67" s="259"/>
      <c r="GH67" s="259"/>
      <c r="GI67" s="259"/>
      <c r="GJ67" s="259"/>
      <c r="GK67" s="259"/>
      <c r="GL67" s="259"/>
      <c r="GM67" s="259"/>
      <c r="GN67" s="259"/>
      <c r="GO67" s="259"/>
      <c r="GP67" s="259"/>
      <c r="GQ67" s="259"/>
      <c r="GR67" s="259"/>
      <c r="GS67" s="310"/>
      <c r="GT67" s="1294"/>
      <c r="GU67" s="412" t="s">
        <v>34</v>
      </c>
      <c r="GV67" s="242"/>
      <c r="GW67" s="1992">
        <f>'Koncern BR'!H28</f>
        <v>626.5</v>
      </c>
      <c r="GX67" s="1992">
        <f>'Koncern BR'!I28</f>
        <v>627.4</v>
      </c>
      <c r="GY67" s="1992">
        <f>'Koncern BR'!J28</f>
        <v>648.9</v>
      </c>
      <c r="GZ67" s="1992">
        <f>'Koncern BR'!K28</f>
        <v>657.59999999999991</v>
      </c>
      <c r="HA67" s="1992">
        <f>'Koncern BR'!L28</f>
        <v>708.7</v>
      </c>
      <c r="HB67" s="1992">
        <f>'Koncern BR'!M28</f>
        <v>681.69999999999993</v>
      </c>
      <c r="HC67" s="1992">
        <f>'Koncern BR'!N28</f>
        <v>699</v>
      </c>
      <c r="HD67" s="1992">
        <f>'Koncern BR'!O28</f>
        <v>698.8</v>
      </c>
      <c r="HE67" s="1992">
        <f>'Koncern BR'!P28</f>
        <v>722.5</v>
      </c>
      <c r="HF67" s="1992">
        <f>'Koncern BR'!Q28</f>
        <v>794.7</v>
      </c>
      <c r="HG67" s="1992">
        <f>'Koncern BR'!R28</f>
        <v>0</v>
      </c>
      <c r="HH67" s="1992">
        <f>'Koncern BR'!S28</f>
        <v>0</v>
      </c>
      <c r="HJ67" s="925">
        <f>HF67</f>
        <v>794.7</v>
      </c>
      <c r="HK67" s="924">
        <f>HB67</f>
        <v>681.69999999999993</v>
      </c>
      <c r="HL67" s="925">
        <f>HF67</f>
        <v>794.7</v>
      </c>
      <c r="HM67" s="924">
        <f>HB67</f>
        <v>681.69999999999993</v>
      </c>
      <c r="HN67" s="925">
        <f>HF67</f>
        <v>794.7</v>
      </c>
      <c r="HO67" s="1575">
        <f>HD67</f>
        <v>698.8</v>
      </c>
      <c r="HP67" s="1999"/>
      <c r="HQ67" s="310"/>
      <c r="HR67" s="310"/>
      <c r="HS67" s="310"/>
      <c r="HT67" s="310"/>
      <c r="HU67" s="310"/>
      <c r="HV67" s="310"/>
      <c r="HW67" s="310"/>
      <c r="HX67" s="310"/>
      <c r="HY67" s="310"/>
      <c r="HZ67" s="2"/>
      <c r="IA67" s="412" t="s">
        <v>352</v>
      </c>
      <c r="IB67" s="925">
        <f t="shared" si="511"/>
        <v>794.7</v>
      </c>
      <c r="IC67" s="924">
        <f t="shared" si="511"/>
        <v>681.69999999999993</v>
      </c>
      <c r="ID67" s="925">
        <f t="shared" si="511"/>
        <v>794.7</v>
      </c>
      <c r="IE67" s="924">
        <f t="shared" si="511"/>
        <v>681.69999999999993</v>
      </c>
      <c r="IF67" s="925">
        <f t="shared" si="511"/>
        <v>794.7</v>
      </c>
      <c r="IG67" s="1575">
        <f t="shared" si="511"/>
        <v>698.8</v>
      </c>
      <c r="IH67" s="1220"/>
      <c r="JG67" s="402"/>
      <c r="JH67" s="402"/>
      <c r="JI67" s="402"/>
      <c r="JN67" s="402"/>
      <c r="JO67" s="402"/>
      <c r="JP67" s="402"/>
    </row>
    <row r="68" spans="2:276" s="396" customFormat="1" ht="11.25" customHeight="1" outlineLevel="1" x14ac:dyDescent="0.35">
      <c r="B68" s="250"/>
      <c r="C68" s="250"/>
      <c r="BQ68" s="398"/>
      <c r="CI68" s="2138"/>
      <c r="CJ68" s="2138"/>
      <c r="CK68" s="2138"/>
      <c r="CL68" s="2138"/>
      <c r="CM68" s="2138"/>
      <c r="CN68" s="2138"/>
      <c r="CO68" s="2138"/>
      <c r="CP68" s="2138"/>
      <c r="CQ68" s="2138"/>
      <c r="CR68" s="2138"/>
      <c r="CS68" s="2138"/>
      <c r="CT68" s="2138"/>
      <c r="CU68" s="2138"/>
      <c r="CV68" s="2139"/>
      <c r="EW68" s="259"/>
      <c r="EX68" s="259"/>
      <c r="EY68" s="259"/>
      <c r="EZ68" s="259"/>
      <c r="FA68" s="259"/>
      <c r="FB68" s="259"/>
      <c r="FC68" s="259"/>
      <c r="FD68" s="259"/>
      <c r="FE68" s="259"/>
      <c r="FF68" s="259"/>
      <c r="FG68" s="259"/>
      <c r="FH68" s="259"/>
      <c r="FI68" s="259"/>
      <c r="FJ68" s="259"/>
      <c r="FK68" s="259"/>
      <c r="FL68" s="259"/>
      <c r="FM68" s="259"/>
      <c r="FN68" s="259"/>
      <c r="FO68" s="259"/>
      <c r="FP68" s="259"/>
      <c r="FQ68" s="259"/>
      <c r="FR68" s="259"/>
      <c r="FS68" s="259"/>
      <c r="FT68" s="259"/>
      <c r="FU68" s="259"/>
      <c r="FV68" s="259"/>
      <c r="FW68" s="259"/>
      <c r="FX68" s="259"/>
      <c r="FY68" s="259"/>
      <c r="FZ68" s="259"/>
      <c r="GA68" s="259"/>
      <c r="GB68" s="259"/>
      <c r="GC68" s="259"/>
      <c r="GD68" s="259"/>
      <c r="GE68" s="259"/>
      <c r="GF68" s="259"/>
      <c r="GG68" s="259"/>
      <c r="GH68" s="259"/>
      <c r="GI68" s="259"/>
      <c r="GJ68" s="259"/>
      <c r="GK68" s="259"/>
      <c r="GL68" s="259"/>
      <c r="GM68" s="259"/>
      <c r="GN68" s="259"/>
      <c r="GO68" s="259"/>
      <c r="GP68" s="259"/>
      <c r="GQ68" s="259"/>
      <c r="GR68" s="259"/>
      <c r="GS68" s="310"/>
      <c r="GT68" s="1294"/>
      <c r="GU68" s="412" t="s">
        <v>357</v>
      </c>
      <c r="GV68" s="242"/>
      <c r="GW68" s="1989">
        <f>GW67/GW66</f>
        <v>0.41990616621983912</v>
      </c>
      <c r="GX68" s="1989">
        <f t="shared" ref="GX68:HH68" si="513">GX67/GX66</f>
        <v>0.42093257296209324</v>
      </c>
      <c r="GY68" s="1989">
        <f t="shared" si="513"/>
        <v>0.45771319743246108</v>
      </c>
      <c r="GZ68" s="1989">
        <f t="shared" si="513"/>
        <v>0.48427719272405917</v>
      </c>
      <c r="HA68" s="1989">
        <f t="shared" si="513"/>
        <v>0.48385334880862985</v>
      </c>
      <c r="HB68" s="1989">
        <f t="shared" si="513"/>
        <v>0.46270277608090676</v>
      </c>
      <c r="HC68" s="1989">
        <f t="shared" si="513"/>
        <v>0.47622291865376754</v>
      </c>
      <c r="HD68" s="1989">
        <f t="shared" si="513"/>
        <v>0.49892903041553621</v>
      </c>
      <c r="HE68" s="1989">
        <f t="shared" si="513"/>
        <v>0.4961203048822358</v>
      </c>
      <c r="HF68" s="1989">
        <f t="shared" si="513"/>
        <v>0.53761331348937902</v>
      </c>
      <c r="HG68" s="1989" t="e">
        <f t="shared" si="513"/>
        <v>#DIV/0!</v>
      </c>
      <c r="HH68" s="1989" t="e">
        <f t="shared" si="513"/>
        <v>#DIV/0!</v>
      </c>
      <c r="HJ68" s="926">
        <f t="shared" ref="HJ68:HO68" si="514">HJ211/HJ66</f>
        <v>0.54491949668515771</v>
      </c>
      <c r="HK68" s="241">
        <f t="shared" si="514"/>
        <v>0.47301975157809001</v>
      </c>
      <c r="HL68" s="926">
        <f t="shared" si="514"/>
        <v>0.54491949668515771</v>
      </c>
      <c r="HM68" s="241">
        <f t="shared" si="514"/>
        <v>0.47301975157809001</v>
      </c>
      <c r="HN68" s="926">
        <f t="shared" si="514"/>
        <v>0.54491949668515771</v>
      </c>
      <c r="HO68" s="2020">
        <f t="shared" si="514"/>
        <v>0.51035270598315008</v>
      </c>
      <c r="HP68" s="1999"/>
      <c r="HQ68" s="310"/>
      <c r="HR68" s="310"/>
      <c r="HS68" s="310"/>
      <c r="HT68" s="310"/>
      <c r="HU68" s="310"/>
      <c r="HV68" s="310"/>
      <c r="HW68" s="310"/>
      <c r="HX68" s="310"/>
      <c r="HY68" s="310"/>
      <c r="HZ68" s="2"/>
      <c r="IA68" s="412" t="s">
        <v>358</v>
      </c>
      <c r="IB68" s="2065">
        <f t="shared" si="511"/>
        <v>0.54491949668515771</v>
      </c>
      <c r="IC68" s="2068">
        <f t="shared" si="511"/>
        <v>0.47301975157809001</v>
      </c>
      <c r="ID68" s="2065">
        <f t="shared" si="511"/>
        <v>0.54491949668515771</v>
      </c>
      <c r="IE68" s="2068">
        <f t="shared" si="511"/>
        <v>0.47301975157809001</v>
      </c>
      <c r="IF68" s="2065">
        <f t="shared" si="511"/>
        <v>0.54491949668515771</v>
      </c>
      <c r="IG68" s="2069">
        <f t="shared" si="511"/>
        <v>0.51035270598315008</v>
      </c>
      <c r="IH68" s="1219"/>
      <c r="JG68" s="402"/>
      <c r="JH68" s="402"/>
      <c r="JI68" s="402"/>
      <c r="JN68" s="402"/>
      <c r="JO68" s="402"/>
      <c r="JP68" s="402"/>
    </row>
    <row r="69" spans="2:276" s="396" customFormat="1" ht="11.25" customHeight="1" outlineLevel="1" x14ac:dyDescent="0.35">
      <c r="B69" s="250"/>
      <c r="C69" s="250"/>
      <c r="BQ69" s="398"/>
      <c r="CI69" s="2138"/>
      <c r="CJ69" s="2138"/>
      <c r="CK69" s="2138"/>
      <c r="CL69" s="2138"/>
      <c r="CM69" s="2138"/>
      <c r="CN69" s="2138"/>
      <c r="CO69" s="2138"/>
      <c r="CP69" s="2138"/>
      <c r="CQ69" s="2138"/>
      <c r="CR69" s="2138"/>
      <c r="CS69" s="2138"/>
      <c r="CT69" s="2138"/>
      <c r="CU69" s="2138"/>
      <c r="CV69" s="2139"/>
      <c r="EW69" s="259"/>
      <c r="EX69" s="259"/>
      <c r="EY69" s="259"/>
      <c r="EZ69" s="259"/>
      <c r="FA69" s="259"/>
      <c r="FB69" s="259"/>
      <c r="FC69" s="259"/>
      <c r="FD69" s="259"/>
      <c r="FE69" s="259"/>
      <c r="FF69" s="259"/>
      <c r="FG69" s="259"/>
      <c r="FH69" s="259"/>
      <c r="FI69" s="259"/>
      <c r="FJ69" s="259"/>
      <c r="FK69" s="259"/>
      <c r="FL69" s="259"/>
      <c r="FM69" s="259"/>
      <c r="FN69" s="259"/>
      <c r="FO69" s="259"/>
      <c r="FP69" s="259"/>
      <c r="FQ69" s="259"/>
      <c r="FR69" s="259"/>
      <c r="FS69" s="259"/>
      <c r="FT69" s="259"/>
      <c r="FU69" s="259"/>
      <c r="FV69" s="259"/>
      <c r="FW69" s="259"/>
      <c r="FX69" s="259"/>
      <c r="FY69" s="259"/>
      <c r="FZ69" s="259"/>
      <c r="GA69" s="259"/>
      <c r="GB69" s="259"/>
      <c r="GC69" s="259"/>
      <c r="GD69" s="259"/>
      <c r="GE69" s="259"/>
      <c r="GF69" s="259"/>
      <c r="GG69" s="259"/>
      <c r="GH69" s="259"/>
      <c r="GI69" s="259"/>
      <c r="GJ69" s="259"/>
      <c r="GK69" s="259"/>
      <c r="GL69" s="259"/>
      <c r="GM69" s="259"/>
      <c r="GN69" s="259"/>
      <c r="GO69" s="259"/>
      <c r="GP69" s="259"/>
      <c r="GQ69" s="259"/>
      <c r="GR69" s="259"/>
      <c r="GS69" s="310"/>
      <c r="GT69" s="1294"/>
      <c r="GU69" s="412" t="s">
        <v>362</v>
      </c>
      <c r="GV69" s="242"/>
      <c r="GW69" s="1993">
        <f t="shared" ref="GW69:HH69" si="515">GW212</f>
        <v>2.3839202243689597E-2</v>
      </c>
      <c r="GX69" s="1993">
        <f t="shared" si="515"/>
        <v>-4.3149946062567158E-3</v>
      </c>
      <c r="GY69" s="1993">
        <f t="shared" si="515"/>
        <v>0.12199519230769233</v>
      </c>
      <c r="GZ69" s="1993">
        <f t="shared" si="515"/>
        <v>8.3938899599584754E-2</v>
      </c>
      <c r="HA69" s="1993">
        <f t="shared" si="515"/>
        <v>9.223099293726629E-2</v>
      </c>
      <c r="HB69" s="1993">
        <f t="shared" si="515"/>
        <v>0.16645142775147082</v>
      </c>
      <c r="HC69" s="1993">
        <f t="shared" si="515"/>
        <v>0.19837830281000976</v>
      </c>
      <c r="HD69" s="1993">
        <f t="shared" si="515"/>
        <v>0.24314493564633466</v>
      </c>
      <c r="HE69" s="1993">
        <f t="shared" si="515"/>
        <v>0.20710701207107013</v>
      </c>
      <c r="HF69" s="1993">
        <f t="shared" si="515"/>
        <v>0.12923649906890131</v>
      </c>
      <c r="HG69" s="1993" t="e">
        <f t="shared" si="515"/>
        <v>#DIV/0!</v>
      </c>
      <c r="HH69" s="1993" t="e">
        <f t="shared" si="515"/>
        <v>#DIV/0!</v>
      </c>
      <c r="HJ69" s="1203">
        <f t="shared" ref="HJ69:HO69" si="516">HJ212</f>
        <v>0.12923649906890131</v>
      </c>
      <c r="HK69" s="1204">
        <f t="shared" si="516"/>
        <v>0.16645142775147082</v>
      </c>
      <c r="HL69" s="1203">
        <f t="shared" si="516"/>
        <v>0.12923649906890131</v>
      </c>
      <c r="HM69" s="1204">
        <f t="shared" si="516"/>
        <v>0.16645142775147082</v>
      </c>
      <c r="HN69" s="1203">
        <f t="shared" si="516"/>
        <v>0.12923649906890131</v>
      </c>
      <c r="HO69" s="2017">
        <f t="shared" si="516"/>
        <v>0.24314493564633466</v>
      </c>
      <c r="HP69" s="1999"/>
      <c r="HQ69" s="310"/>
      <c r="HR69" s="310"/>
      <c r="HS69" s="310"/>
      <c r="HT69" s="310"/>
      <c r="HU69" s="310"/>
      <c r="HV69" s="310"/>
      <c r="HW69" s="310"/>
      <c r="HX69" s="310"/>
      <c r="HY69" s="310"/>
      <c r="HZ69" s="2"/>
      <c r="IA69" s="412" t="str">
        <f>IA43</f>
        <v>Net debt/equity ratio</v>
      </c>
      <c r="IB69" s="2066">
        <f t="shared" si="511"/>
        <v>0.12923649906890131</v>
      </c>
      <c r="IC69" s="2067">
        <f t="shared" si="511"/>
        <v>0.16645142775147082</v>
      </c>
      <c r="ID69" s="2066">
        <f t="shared" si="511"/>
        <v>0.12923649906890131</v>
      </c>
      <c r="IE69" s="2067">
        <f t="shared" si="511"/>
        <v>0.16645142775147082</v>
      </c>
      <c r="IF69" s="2066">
        <f t="shared" si="511"/>
        <v>0.12923649906890131</v>
      </c>
      <c r="IG69" s="2070">
        <f t="shared" si="511"/>
        <v>0.24314493564633466</v>
      </c>
      <c r="IH69" s="1219"/>
      <c r="JG69" s="402"/>
      <c r="JH69" s="402"/>
      <c r="JI69" s="402"/>
      <c r="JN69" s="402"/>
      <c r="JO69" s="402"/>
      <c r="JP69" s="402"/>
    </row>
    <row r="70" spans="2:276" s="396" customFormat="1" ht="11.25" customHeight="1" outlineLevel="1" x14ac:dyDescent="0.35">
      <c r="B70" s="250"/>
      <c r="C70" s="250"/>
      <c r="BQ70" s="398"/>
      <c r="CI70" s="2138"/>
      <c r="CJ70" s="2138"/>
      <c r="CK70" s="2138"/>
      <c r="CL70" s="2138"/>
      <c r="CM70" s="2138"/>
      <c r="CN70" s="2138"/>
      <c r="CO70" s="2138"/>
      <c r="CP70" s="2138"/>
      <c r="CQ70" s="2138"/>
      <c r="CR70" s="2138"/>
      <c r="CS70" s="2138"/>
      <c r="CT70" s="2138"/>
      <c r="CU70" s="2138"/>
      <c r="CV70" s="2139"/>
      <c r="EW70" s="259"/>
      <c r="EX70" s="259"/>
      <c r="EY70" s="259"/>
      <c r="EZ70" s="259"/>
      <c r="FA70" s="259"/>
      <c r="FB70" s="259"/>
      <c r="FC70" s="259"/>
      <c r="FD70" s="259"/>
      <c r="FE70" s="259"/>
      <c r="FF70" s="259"/>
      <c r="FG70" s="259"/>
      <c r="FH70" s="259"/>
      <c r="FI70" s="259"/>
      <c r="FJ70" s="259"/>
      <c r="FK70" s="259"/>
      <c r="FL70" s="259"/>
      <c r="FM70" s="259"/>
      <c r="FN70" s="259"/>
      <c r="FO70" s="259"/>
      <c r="FP70" s="259"/>
      <c r="FQ70" s="259"/>
      <c r="FR70" s="259"/>
      <c r="FS70" s="259"/>
      <c r="FT70" s="259"/>
      <c r="FU70" s="259"/>
      <c r="FV70" s="259"/>
      <c r="FW70" s="259"/>
      <c r="FX70" s="259"/>
      <c r="FY70" s="259"/>
      <c r="FZ70" s="259"/>
      <c r="GA70" s="259"/>
      <c r="GB70" s="259"/>
      <c r="GC70" s="259"/>
      <c r="GD70" s="259"/>
      <c r="GE70" s="259"/>
      <c r="GF70" s="259"/>
      <c r="GG70" s="259"/>
      <c r="GH70" s="259"/>
      <c r="GI70" s="259"/>
      <c r="GJ70" s="259"/>
      <c r="GK70" s="259"/>
      <c r="GL70" s="259"/>
      <c r="GM70" s="259"/>
      <c r="GN70" s="259"/>
      <c r="GO70" s="259"/>
      <c r="GP70" s="259"/>
      <c r="GQ70" s="259"/>
      <c r="GR70" s="259"/>
      <c r="GS70" s="310"/>
      <c r="GT70" s="1294"/>
      <c r="GU70" s="412" t="s">
        <v>414</v>
      </c>
      <c r="GV70" s="242"/>
      <c r="GW70" s="1992" t="str">
        <f t="shared" ref="GW70:HH70" si="517">GW282</f>
        <v>N/A</v>
      </c>
      <c r="GX70" s="1992" t="str">
        <f t="shared" si="517"/>
        <v>N/A</v>
      </c>
      <c r="GY70" s="1992" t="str">
        <f t="shared" si="517"/>
        <v>N/A</v>
      </c>
      <c r="GZ70" s="1992" t="str">
        <f t="shared" si="517"/>
        <v>N/A</v>
      </c>
      <c r="HA70" s="1992">
        <f t="shared" si="517"/>
        <v>3.1234281528506904</v>
      </c>
      <c r="HB70" s="1992">
        <f t="shared" si="517"/>
        <v>3.1777104784978802</v>
      </c>
      <c r="HC70" s="1992">
        <f t="shared" si="517"/>
        <v>2.8162345205159633</v>
      </c>
      <c r="HD70" s="1992">
        <f t="shared" si="517"/>
        <v>2.6807041767345536</v>
      </c>
      <c r="HE70" s="1992">
        <f t="shared" si="517"/>
        <v>2.6140651801029162</v>
      </c>
      <c r="HF70" s="1992">
        <f t="shared" si="517"/>
        <v>2.7791078426109834</v>
      </c>
      <c r="HG70" s="1992">
        <f t="shared" si="517"/>
        <v>5.1406931642872369</v>
      </c>
      <c r="HH70" s="1992">
        <f t="shared" si="517"/>
        <v>4.964415086298744</v>
      </c>
      <c r="HJ70" s="1203">
        <f t="shared" ref="HJ70:HO70" si="518">HJ282</f>
        <v>2.7965213633662835</v>
      </c>
      <c r="HK70" s="1204">
        <f t="shared" si="518"/>
        <v>3.1043786982248522</v>
      </c>
      <c r="HL70" s="1203">
        <f t="shared" si="518"/>
        <v>2.7791078426109834</v>
      </c>
      <c r="HM70" s="1204">
        <f t="shared" si="518"/>
        <v>3.1777104784978802</v>
      </c>
      <c r="HN70" s="1203">
        <f t="shared" si="518"/>
        <v>2.6046066340034919</v>
      </c>
      <c r="HO70" s="2017">
        <f t="shared" si="518"/>
        <v>2.6807041767345536</v>
      </c>
      <c r="HP70" s="1999"/>
      <c r="HQ70" s="310"/>
      <c r="HR70" s="310"/>
      <c r="HS70" s="310"/>
      <c r="HT70" s="310"/>
      <c r="HU70" s="310"/>
      <c r="HV70" s="310"/>
      <c r="HW70" s="310"/>
      <c r="HX70" s="310"/>
      <c r="HY70" s="310"/>
      <c r="HZ70" s="2"/>
      <c r="IA70" s="412" t="s">
        <v>366</v>
      </c>
      <c r="IB70" s="2066">
        <f t="shared" si="511"/>
        <v>2.7965213633662835</v>
      </c>
      <c r="IC70" s="2067">
        <f t="shared" si="511"/>
        <v>3.1043786982248522</v>
      </c>
      <c r="ID70" s="2066">
        <f t="shared" si="511"/>
        <v>2.7791078426109834</v>
      </c>
      <c r="IE70" s="2067">
        <f t="shared" si="511"/>
        <v>3.1777104784978802</v>
      </c>
      <c r="IF70" s="2066">
        <f t="shared" si="511"/>
        <v>2.6046066340034919</v>
      </c>
      <c r="IG70" s="2070">
        <f t="shared" si="511"/>
        <v>2.6807041767345536</v>
      </c>
      <c r="IH70" s="1219"/>
      <c r="JG70" s="402"/>
      <c r="JH70" s="402"/>
      <c r="JI70" s="402"/>
      <c r="JN70" s="402"/>
      <c r="JO70" s="402"/>
      <c r="JP70" s="402"/>
    </row>
    <row r="71" spans="2:276" s="396" customFormat="1" ht="11.25" customHeight="1" outlineLevel="1" x14ac:dyDescent="0.35">
      <c r="B71" s="250"/>
      <c r="C71" s="250"/>
      <c r="D71" s="1475" t="s">
        <v>733</v>
      </c>
      <c r="E71" s="1475"/>
      <c r="G71" s="1475">
        <f t="shared" ref="G71:R71" si="519">G37/G$35</f>
        <v>0.9236363636363637</v>
      </c>
      <c r="H71" s="1475">
        <f t="shared" si="519"/>
        <v>0.93777134587554301</v>
      </c>
      <c r="I71" s="1475">
        <f t="shared" si="519"/>
        <v>0.9271899886234356</v>
      </c>
      <c r="J71" s="1475">
        <f t="shared" si="519"/>
        <v>0.93606393606393612</v>
      </c>
      <c r="K71" s="1475">
        <f t="shared" si="519"/>
        <v>0.96313364055299522</v>
      </c>
      <c r="L71" s="1475">
        <f t="shared" si="519"/>
        <v>0.95121951219512191</v>
      </c>
      <c r="M71" s="1475">
        <f t="shared" si="519"/>
        <v>0.9520202020202021</v>
      </c>
      <c r="N71" s="1475">
        <f t="shared" si="519"/>
        <v>0.94110115236875813</v>
      </c>
      <c r="O71" s="1475">
        <f t="shared" si="519"/>
        <v>0.9676470588235293</v>
      </c>
      <c r="P71" s="1475">
        <f t="shared" si="519"/>
        <v>0.97500000000000009</v>
      </c>
      <c r="Q71" s="1475">
        <f t="shared" si="519"/>
        <v>0.9520202020202021</v>
      </c>
      <c r="R71" s="1475">
        <f t="shared" si="519"/>
        <v>0.94110115236875813</v>
      </c>
      <c r="T71" s="1475">
        <f t="shared" ref="T71:AE71" si="520">T37/T$35</f>
        <v>0.9236363636363637</v>
      </c>
      <c r="U71" s="1475">
        <f t="shared" si="520"/>
        <v>0.94711538461538514</v>
      </c>
      <c r="V71" s="1475">
        <f t="shared" si="520"/>
        <v>0.88829787234042301</v>
      </c>
      <c r="W71" s="1475">
        <f t="shared" si="520"/>
        <v>1.0000000000000011</v>
      </c>
      <c r="X71" s="1475">
        <f t="shared" si="520"/>
        <v>0.96313364055299444</v>
      </c>
      <c r="Y71" s="1475">
        <f t="shared" si="520"/>
        <v>0.92265193370165677</v>
      </c>
      <c r="Z71" s="1475">
        <f t="shared" si="520"/>
        <v>0.95480225988700662</v>
      </c>
      <c r="AA71" s="1475">
        <f t="shared" si="520"/>
        <v>1.7272727272727904</v>
      </c>
      <c r="AB71" s="1475">
        <f t="shared" si="520"/>
        <v>0.9676470588235293</v>
      </c>
      <c r="AC71" s="1475">
        <f t="shared" si="520"/>
        <v>0.97857142857142843</v>
      </c>
      <c r="AD71" s="1475">
        <f t="shared" si="520"/>
        <v>1.0483870967741926</v>
      </c>
      <c r="AE71" s="1475">
        <f t="shared" si="520"/>
        <v>1.7272727272727904</v>
      </c>
      <c r="AF71" s="250"/>
      <c r="AG71" s="250"/>
      <c r="AH71" s="250"/>
      <c r="AI71" s="250"/>
      <c r="AJ71" s="250"/>
      <c r="AK71" s="250"/>
      <c r="AL71" s="250"/>
      <c r="AM71" s="250"/>
      <c r="AN71" s="250"/>
      <c r="AO71" s="250"/>
      <c r="AP71" s="250"/>
      <c r="AQ71" s="250"/>
      <c r="AR71" s="250"/>
      <c r="AS71" s="250"/>
      <c r="AT71" s="250"/>
      <c r="AU71" s="250"/>
      <c r="AV71" s="1475" t="s">
        <v>733</v>
      </c>
      <c r="AW71" s="1475"/>
      <c r="AX71" s="1475">
        <f t="shared" ref="AX71:BC72" si="521">AX37/AX$35</f>
        <v>0.97857142857142843</v>
      </c>
      <c r="AY71" s="1475">
        <f t="shared" si="521"/>
        <v>0.92265193370165677</v>
      </c>
      <c r="AZ71" s="1475">
        <f t="shared" si="521"/>
        <v>0.97500000000000009</v>
      </c>
      <c r="BA71" s="1475">
        <f t="shared" si="521"/>
        <v>0.95121951219512191</v>
      </c>
      <c r="BB71" s="1475">
        <f t="shared" si="521"/>
        <v>0.96517412935323377</v>
      </c>
      <c r="BC71" s="1475">
        <f t="shared" si="521"/>
        <v>0.94110115236875813</v>
      </c>
      <c r="BQ71" s="398"/>
      <c r="CI71" s="1475" t="s">
        <v>733</v>
      </c>
      <c r="CJ71" s="1475"/>
      <c r="CK71" s="1475">
        <f t="shared" ref="CK71:CV71" si="522">CK37/CK$35</f>
        <v>0.76855837048155384</v>
      </c>
      <c r="CL71" s="1475">
        <f t="shared" si="522"/>
        <v>0.90726679368896901</v>
      </c>
      <c r="CM71" s="1475">
        <f t="shared" si="522"/>
        <v>-4.3310274822380821</v>
      </c>
      <c r="CN71" s="1475">
        <f t="shared" si="522"/>
        <v>1.0025220442429612</v>
      </c>
      <c r="CO71" s="1475">
        <f t="shared" si="522"/>
        <v>0.93487419435944308</v>
      </c>
      <c r="CP71" s="1475">
        <f t="shared" si="522"/>
        <v>-0.27615157703671911</v>
      </c>
      <c r="CQ71" s="1475">
        <f t="shared" si="522"/>
        <v>1.1901282181399939</v>
      </c>
      <c r="CR71" s="1475">
        <f t="shared" si="522"/>
        <v>1.0404815285999549</v>
      </c>
      <c r="CS71" s="1475">
        <f t="shared" si="522"/>
        <v>0.92812969873189732</v>
      </c>
      <c r="CT71" s="1475">
        <f t="shared" si="522"/>
        <v>0.96880647589568603</v>
      </c>
      <c r="CU71" s="1475">
        <f t="shared" si="522"/>
        <v>1</v>
      </c>
      <c r="CV71" s="1475">
        <f t="shared" si="522"/>
        <v>1</v>
      </c>
      <c r="EW71" s="259"/>
      <c r="EX71" s="259"/>
      <c r="EY71" s="259"/>
      <c r="EZ71" s="259"/>
      <c r="FA71" s="259"/>
      <c r="FB71" s="259"/>
      <c r="FC71" s="259"/>
      <c r="FD71" s="259"/>
      <c r="FE71" s="259"/>
      <c r="FF71" s="259"/>
      <c r="FG71" s="259"/>
      <c r="FH71" s="259"/>
      <c r="FI71" s="259"/>
      <c r="FJ71" s="259"/>
      <c r="FK71" s="259"/>
      <c r="FL71" s="259"/>
      <c r="FM71" s="259"/>
      <c r="FN71" s="259"/>
      <c r="FO71" s="259"/>
      <c r="FP71" s="259"/>
      <c r="FQ71" s="259"/>
      <c r="FR71" s="259"/>
      <c r="FS71" s="259"/>
      <c r="FT71" s="259"/>
      <c r="FU71" s="259"/>
      <c r="FV71" s="259"/>
      <c r="FW71" s="259"/>
      <c r="FX71" s="259"/>
      <c r="FY71" s="259"/>
      <c r="FZ71" s="259"/>
      <c r="GA71" s="259"/>
      <c r="GB71" s="259"/>
      <c r="GC71" s="259"/>
      <c r="GD71" s="259"/>
      <c r="GE71" s="259"/>
      <c r="GF71" s="259"/>
      <c r="GG71" s="259"/>
      <c r="GH71" s="259"/>
      <c r="GI71" s="259"/>
      <c r="GJ71" s="259"/>
      <c r="GK71" s="259"/>
      <c r="GL71" s="259"/>
      <c r="GM71" s="259"/>
      <c r="GN71" s="259"/>
      <c r="GO71" s="259"/>
      <c r="GP71" s="259"/>
      <c r="GQ71" s="259"/>
      <c r="GR71" s="259"/>
      <c r="GS71" s="310"/>
      <c r="GT71" s="1294"/>
      <c r="GU71" s="412" t="s">
        <v>415</v>
      </c>
      <c r="GV71" s="242"/>
      <c r="GW71" s="1992">
        <f t="shared" ref="GW71:HH71" si="523">GW262</f>
        <v>48.894101876675606</v>
      </c>
      <c r="GX71" s="1992">
        <f t="shared" si="523"/>
        <v>49.459912780945984</v>
      </c>
      <c r="GY71" s="1992">
        <f t="shared" si="523"/>
        <v>53.262326303167107</v>
      </c>
      <c r="GZ71" s="1992">
        <f t="shared" si="523"/>
        <v>56.543191693055448</v>
      </c>
      <c r="HA71" s="1992">
        <f t="shared" si="523"/>
        <v>55.806649825902923</v>
      </c>
      <c r="HB71" s="1992">
        <f t="shared" si="523"/>
        <v>53.593972714314809</v>
      </c>
      <c r="HC71" s="1992">
        <f t="shared" si="523"/>
        <v>55.123313802970429</v>
      </c>
      <c r="HD71" s="1992">
        <f t="shared" si="523"/>
        <v>57.939454519491647</v>
      </c>
      <c r="HE71" s="1992">
        <f t="shared" si="523"/>
        <v>57.158552496051641</v>
      </c>
      <c r="HF71" s="1992">
        <f t="shared" si="523"/>
        <v>61.087809498038162</v>
      </c>
      <c r="HG71" s="1992" t="e">
        <f t="shared" si="523"/>
        <v>#DIV/0!</v>
      </c>
      <c r="HH71" s="1992" t="e">
        <f t="shared" si="523"/>
        <v>#DIV/0!</v>
      </c>
      <c r="HJ71" s="1203">
        <f t="shared" ref="HJ71:HO71" si="524">HJ262</f>
        <v>61.087809498038162</v>
      </c>
      <c r="HK71" s="1204">
        <f t="shared" si="524"/>
        <v>53.593972714314809</v>
      </c>
      <c r="HL71" s="1203">
        <f t="shared" si="524"/>
        <v>61.087809498038162</v>
      </c>
      <c r="HM71" s="1204">
        <f t="shared" si="524"/>
        <v>53.593972714314809</v>
      </c>
      <c r="HN71" s="1203">
        <f t="shared" si="524"/>
        <v>61.087809498038162</v>
      </c>
      <c r="HO71" s="2017">
        <f t="shared" si="524"/>
        <v>57.939454519491647</v>
      </c>
      <c r="HP71" s="1999"/>
      <c r="HQ71" s="310"/>
      <c r="HR71" s="310"/>
      <c r="HS71" s="310"/>
      <c r="HT71" s="310"/>
      <c r="HU71" s="310"/>
      <c r="HV71" s="310"/>
      <c r="HW71" s="310"/>
      <c r="HX71" s="310"/>
      <c r="HY71" s="310"/>
      <c r="HZ71" s="2"/>
      <c r="IA71" s="412" t="s">
        <v>370</v>
      </c>
      <c r="IB71" s="2066">
        <f t="shared" si="511"/>
        <v>61.087809498038162</v>
      </c>
      <c r="IC71" s="2067">
        <f t="shared" si="511"/>
        <v>53.593972714314809</v>
      </c>
      <c r="ID71" s="2066">
        <f t="shared" si="511"/>
        <v>61.087809498038162</v>
      </c>
      <c r="IE71" s="2067">
        <f t="shared" si="511"/>
        <v>53.593972714314809</v>
      </c>
      <c r="IF71" s="2066">
        <f t="shared" si="511"/>
        <v>61.087809498038162</v>
      </c>
      <c r="IG71" s="2070">
        <f t="shared" si="511"/>
        <v>57.939454519491647</v>
      </c>
      <c r="IH71" s="1150"/>
      <c r="JG71" s="402"/>
      <c r="JH71" s="402"/>
      <c r="JI71" s="402"/>
      <c r="JN71" s="402"/>
      <c r="JO71" s="402"/>
      <c r="JP71" s="402"/>
    </row>
    <row r="72" spans="2:276" s="396" customFormat="1" ht="11.25" customHeight="1" outlineLevel="1" x14ac:dyDescent="0.35">
      <c r="D72" s="1476" t="s">
        <v>734</v>
      </c>
      <c r="E72" s="1476"/>
      <c r="G72" s="1476">
        <f t="shared" ref="G72:R72" si="525">G38/G$35</f>
        <v>7.6363636363636245E-2</v>
      </c>
      <c r="H72" s="1476">
        <f t="shared" si="525"/>
        <v>6.2228654124457224E-2</v>
      </c>
      <c r="I72" s="1476">
        <f t="shared" si="525"/>
        <v>7.2810011376564357E-2</v>
      </c>
      <c r="J72" s="1476">
        <f t="shared" si="525"/>
        <v>6.3936063936063839E-2</v>
      </c>
      <c r="K72" s="1476">
        <f t="shared" si="525"/>
        <v>3.6866359447004553E-2</v>
      </c>
      <c r="L72" s="1476">
        <f t="shared" si="525"/>
        <v>4.878048780487812E-2</v>
      </c>
      <c r="M72" s="1476">
        <f t="shared" si="525"/>
        <v>4.797979797979797E-2</v>
      </c>
      <c r="N72" s="1476">
        <f t="shared" si="525"/>
        <v>5.889884763124191E-2</v>
      </c>
      <c r="O72" s="1476">
        <f t="shared" si="525"/>
        <v>3.2352941176470605E-2</v>
      </c>
      <c r="P72" s="1476">
        <f t="shared" si="525"/>
        <v>2.4999999999999991E-2</v>
      </c>
      <c r="Q72" s="1476">
        <f t="shared" si="525"/>
        <v>4.797979797979797E-2</v>
      </c>
      <c r="R72" s="1476">
        <f t="shared" si="525"/>
        <v>5.889884763124191E-2</v>
      </c>
      <c r="T72" s="1476">
        <f t="shared" ref="T72:AE72" si="526">T38/T$35</f>
        <v>7.6363636363636245E-2</v>
      </c>
      <c r="U72" s="1476">
        <f t="shared" si="526"/>
        <v>5.2884615384615315E-2</v>
      </c>
      <c r="V72" s="1476">
        <f t="shared" si="526"/>
        <v>0.11170212765957559</v>
      </c>
      <c r="W72" s="1476">
        <f t="shared" si="526"/>
        <v>0</v>
      </c>
      <c r="X72" s="1476">
        <f t="shared" si="526"/>
        <v>3.6866359447004518E-2</v>
      </c>
      <c r="Y72" s="1476">
        <f t="shared" si="526"/>
        <v>7.7348066298343149E-2</v>
      </c>
      <c r="Z72" s="1476">
        <f t="shared" si="526"/>
        <v>4.5197740112994107E-2</v>
      </c>
      <c r="AA72" s="1476">
        <f t="shared" si="526"/>
        <v>-0.72727272727278958</v>
      </c>
      <c r="AB72" s="1476">
        <f t="shared" si="526"/>
        <v>3.2352941176470605E-2</v>
      </c>
      <c r="AC72" s="1476">
        <f t="shared" si="526"/>
        <v>2.1428571428571408E-2</v>
      </c>
      <c r="AD72" s="1476">
        <f t="shared" si="526"/>
        <v>-4.8387096774193443E-2</v>
      </c>
      <c r="AE72" s="1476">
        <f t="shared" si="526"/>
        <v>-0.72727272727278958</v>
      </c>
      <c r="AF72" s="250"/>
      <c r="AG72" s="250"/>
      <c r="AH72" s="250"/>
      <c r="AI72" s="250"/>
      <c r="AJ72" s="250"/>
      <c r="AK72" s="250"/>
      <c r="AL72" s="250"/>
      <c r="AM72" s="250"/>
      <c r="AN72" s="250"/>
      <c r="AO72" s="250"/>
      <c r="AP72" s="250"/>
      <c r="AQ72" s="250"/>
      <c r="AR72" s="250"/>
      <c r="AS72" s="250"/>
      <c r="AT72" s="250"/>
      <c r="AU72" s="250"/>
      <c r="AV72" s="1476" t="s">
        <v>734</v>
      </c>
      <c r="AW72" s="1476"/>
      <c r="AX72" s="1476">
        <f t="shared" si="521"/>
        <v>2.1428571428571408E-2</v>
      </c>
      <c r="AY72" s="1476">
        <f t="shared" si="521"/>
        <v>7.7348066298343149E-2</v>
      </c>
      <c r="AZ72" s="1476">
        <f t="shared" si="521"/>
        <v>2.4999999999999991E-2</v>
      </c>
      <c r="BA72" s="1476">
        <f t="shared" si="521"/>
        <v>4.878048780487812E-2</v>
      </c>
      <c r="BB72" s="1476">
        <f t="shared" si="521"/>
        <v>3.4825870646766094E-2</v>
      </c>
      <c r="BC72" s="1476">
        <f t="shared" si="521"/>
        <v>5.889884763124191E-2</v>
      </c>
      <c r="BQ72" s="398"/>
      <c r="CI72" s="1476" t="s">
        <v>734</v>
      </c>
      <c r="CJ72" s="1476"/>
      <c r="CK72" s="1476">
        <f t="shared" ref="CK72:CV72" si="527">CK38/CK$35</f>
        <v>0.23144162951844618</v>
      </c>
      <c r="CL72" s="1476">
        <f t="shared" si="527"/>
        <v>9.2733206311030922E-2</v>
      </c>
      <c r="CM72" s="1476">
        <f t="shared" si="527"/>
        <v>5.3310274822380821</v>
      </c>
      <c r="CN72" s="1476">
        <f t="shared" si="527"/>
        <v>-2.5220442429611445E-3</v>
      </c>
      <c r="CO72" s="1476">
        <f t="shared" si="527"/>
        <v>6.5125805640556936E-2</v>
      </c>
      <c r="CP72" s="1476">
        <f t="shared" si="527"/>
        <v>1.2761515770367191</v>
      </c>
      <c r="CQ72" s="1476">
        <f t="shared" si="527"/>
        <v>-0.19012821813999395</v>
      </c>
      <c r="CR72" s="1476">
        <f t="shared" si="527"/>
        <v>-4.0481528599954963E-2</v>
      </c>
      <c r="CS72" s="1476">
        <f t="shared" si="527"/>
        <v>7.1870301268102649E-2</v>
      </c>
      <c r="CT72" s="1476">
        <f t="shared" si="527"/>
        <v>3.1193524104314016E-2</v>
      </c>
      <c r="CU72" s="1476">
        <f t="shared" si="527"/>
        <v>0</v>
      </c>
      <c r="CV72" s="1476">
        <f t="shared" si="527"/>
        <v>0</v>
      </c>
      <c r="CY72" s="435"/>
      <c r="CZ72" s="435"/>
      <c r="DA72" s="435"/>
      <c r="DB72" s="435"/>
      <c r="DC72" s="435"/>
      <c r="DD72" s="435"/>
      <c r="DE72" s="435"/>
      <c r="DF72" s="435"/>
      <c r="DG72" s="435"/>
      <c r="DH72" s="435"/>
      <c r="DI72" s="435"/>
      <c r="DJ72" s="398"/>
      <c r="DL72" s="398"/>
      <c r="DM72" s="398"/>
      <c r="DN72" s="398"/>
      <c r="DO72" s="398"/>
      <c r="DP72" s="398"/>
      <c r="DQ72" s="398"/>
      <c r="DR72" s="398"/>
      <c r="DS72" s="398"/>
      <c r="DT72" s="398"/>
      <c r="DU72" s="398"/>
      <c r="DV72" s="398"/>
      <c r="DW72" s="398"/>
      <c r="DX72" s="398"/>
      <c r="EA72" s="2118">
        <f>EA31*EA89</f>
        <v>48.85131092834294</v>
      </c>
      <c r="EW72" s="259"/>
      <c r="EX72" s="259"/>
      <c r="EY72" s="259"/>
      <c r="EZ72" s="259"/>
      <c r="FA72" s="259"/>
      <c r="FB72" s="259"/>
      <c r="FC72" s="259"/>
      <c r="FD72" s="259"/>
      <c r="FE72" s="259"/>
      <c r="FF72" s="259"/>
      <c r="FG72" s="259"/>
      <c r="FH72" s="259"/>
      <c r="FI72" s="259"/>
      <c r="FJ72" s="259"/>
      <c r="FK72" s="259"/>
      <c r="FL72" s="259"/>
      <c r="FM72" s="259"/>
      <c r="FN72" s="259"/>
      <c r="FO72" s="259"/>
      <c r="FP72" s="259"/>
      <c r="FQ72" s="259"/>
      <c r="FR72" s="259"/>
      <c r="FS72" s="259"/>
      <c r="FT72" s="259"/>
      <c r="FU72" s="259"/>
      <c r="FV72" s="259"/>
      <c r="FW72" s="259"/>
      <c r="FX72" s="259"/>
      <c r="FY72" s="259"/>
      <c r="FZ72" s="259"/>
      <c r="GA72" s="259"/>
      <c r="GB72" s="259"/>
      <c r="GC72" s="259"/>
      <c r="GD72" s="259"/>
      <c r="GE72" s="259"/>
      <c r="GF72" s="259"/>
      <c r="GG72" s="259"/>
      <c r="GH72" s="259"/>
      <c r="GI72" s="259"/>
      <c r="GJ72" s="259"/>
      <c r="GK72" s="259"/>
      <c r="GL72" s="259"/>
      <c r="GM72" s="259"/>
      <c r="GN72" s="259"/>
      <c r="GO72" s="259"/>
      <c r="GP72" s="259"/>
      <c r="GQ72" s="259"/>
      <c r="GR72" s="259"/>
      <c r="GS72" s="310"/>
      <c r="GT72" s="1294"/>
      <c r="GU72" s="412" t="s">
        <v>416</v>
      </c>
      <c r="GV72" s="242"/>
      <c r="GW72" s="1994">
        <f t="shared" ref="GW72:HH72" si="528">GW274</f>
        <v>18.479778561113253</v>
      </c>
      <c r="GX72" s="1994">
        <f t="shared" si="528"/>
        <v>22.020292323358337</v>
      </c>
      <c r="GY72" s="1994">
        <f t="shared" si="528"/>
        <v>18.967133788502768</v>
      </c>
      <c r="GZ72" s="1994">
        <f t="shared" si="528"/>
        <v>22.570298830099564</v>
      </c>
      <c r="HA72" s="1994">
        <f t="shared" si="528"/>
        <v>39.950391822094829</v>
      </c>
      <c r="HB72" s="1994">
        <f t="shared" si="528"/>
        <v>33.779495074684519</v>
      </c>
      <c r="HC72" s="1994">
        <f t="shared" si="528"/>
        <v>30.46259903428361</v>
      </c>
      <c r="HD72" s="1994">
        <f t="shared" si="528"/>
        <v>23.902524425178662</v>
      </c>
      <c r="HE72" s="1994">
        <f t="shared" si="528"/>
        <v>25.253005129746938</v>
      </c>
      <c r="HF72" s="1994">
        <f t="shared" si="528"/>
        <v>32.551083737051968</v>
      </c>
      <c r="HG72" s="1994" t="e">
        <f t="shared" si="528"/>
        <v>#N/A</v>
      </c>
      <c r="HH72" s="1994" t="e">
        <f t="shared" si="528"/>
        <v>#N/A</v>
      </c>
      <c r="HJ72" s="1203">
        <f t="shared" ref="HJ72:HO72" si="529">HJ269</f>
        <v>38.615281979823237</v>
      </c>
      <c r="HK72" s="1204">
        <f t="shared" si="529"/>
        <v>26.816791423202151</v>
      </c>
      <c r="HL72" s="1203">
        <f t="shared" si="529"/>
        <v>32.551083737051968</v>
      </c>
      <c r="HM72" s="1204">
        <f t="shared" si="529"/>
        <v>33.779495074684519</v>
      </c>
      <c r="HN72" s="1203">
        <f t="shared" si="529"/>
        <v>25.071945464499908</v>
      </c>
      <c r="HO72" s="2017">
        <f t="shared" si="529"/>
        <v>23.902524425178662</v>
      </c>
      <c r="HP72" s="1999"/>
      <c r="HQ72" s="310"/>
      <c r="HX72" s="310"/>
      <c r="HY72" s="310"/>
      <c r="HZ72" s="2"/>
      <c r="IA72" s="412" t="s">
        <v>373</v>
      </c>
      <c r="IB72" s="2066">
        <f t="shared" si="511"/>
        <v>38.615281979823237</v>
      </c>
      <c r="IC72" s="2067">
        <f t="shared" si="511"/>
        <v>26.816791423202151</v>
      </c>
      <c r="ID72" s="2066">
        <f t="shared" si="511"/>
        <v>32.551083737051968</v>
      </c>
      <c r="IE72" s="2067">
        <f t="shared" si="511"/>
        <v>33.779495074684519</v>
      </c>
      <c r="IF72" s="2066">
        <f t="shared" si="511"/>
        <v>25.071945464499908</v>
      </c>
      <c r="IG72" s="2070">
        <f t="shared" si="511"/>
        <v>23.902524425178662</v>
      </c>
      <c r="IH72" s="1150"/>
      <c r="JG72" s="402"/>
      <c r="JH72" s="402"/>
      <c r="JI72" s="402"/>
      <c r="JN72" s="402"/>
      <c r="JO72" s="402"/>
      <c r="JP72" s="402"/>
    </row>
    <row r="73" spans="2:276" s="396" customFormat="1" ht="11.25" customHeight="1" outlineLevel="1" x14ac:dyDescent="0.35">
      <c r="D73" s="1477" t="s">
        <v>360</v>
      </c>
      <c r="E73" s="1477"/>
      <c r="G73" s="1477">
        <f>SUM(G71:G72)</f>
        <v>1</v>
      </c>
      <c r="H73" s="1477">
        <f t="shared" ref="H73:R73" si="530">SUM(H71:H72)</f>
        <v>1.0000000000000002</v>
      </c>
      <c r="I73" s="1477">
        <f t="shared" si="530"/>
        <v>1</v>
      </c>
      <c r="J73" s="1477">
        <f t="shared" si="530"/>
        <v>1</v>
      </c>
      <c r="K73" s="1477">
        <f t="shared" si="530"/>
        <v>0.99999999999999978</v>
      </c>
      <c r="L73" s="1477">
        <f t="shared" si="530"/>
        <v>1</v>
      </c>
      <c r="M73" s="1477">
        <f t="shared" si="530"/>
        <v>1</v>
      </c>
      <c r="N73" s="1477">
        <f t="shared" si="530"/>
        <v>1</v>
      </c>
      <c r="O73" s="1477">
        <f t="shared" si="530"/>
        <v>0.99999999999999989</v>
      </c>
      <c r="P73" s="1477">
        <f t="shared" si="530"/>
        <v>1</v>
      </c>
      <c r="Q73" s="1477">
        <f t="shared" si="530"/>
        <v>1</v>
      </c>
      <c r="R73" s="1477">
        <f t="shared" si="530"/>
        <v>1</v>
      </c>
      <c r="T73" s="1477">
        <f>SUM(T71:T72)</f>
        <v>1</v>
      </c>
      <c r="U73" s="1477">
        <f t="shared" ref="U73" si="531">SUM(U71:U72)</f>
        <v>1.0000000000000004</v>
      </c>
      <c r="V73" s="1477">
        <f t="shared" ref="V73" si="532">SUM(V71:V72)</f>
        <v>0.99999999999999856</v>
      </c>
      <c r="W73" s="1477">
        <f t="shared" ref="W73" si="533">SUM(W71:W72)</f>
        <v>1.0000000000000011</v>
      </c>
      <c r="X73" s="1477">
        <f t="shared" ref="X73" si="534">SUM(X71:X72)</f>
        <v>0.999999999999999</v>
      </c>
      <c r="Y73" s="1477">
        <f t="shared" ref="Y73" si="535">SUM(Y71:Y72)</f>
        <v>0.99999999999999989</v>
      </c>
      <c r="Z73" s="1477">
        <f t="shared" ref="Z73" si="536">SUM(Z71:Z72)</f>
        <v>1.0000000000000007</v>
      </c>
      <c r="AA73" s="1477">
        <f t="shared" ref="AA73" si="537">SUM(AA71:AA72)</f>
        <v>1.0000000000000009</v>
      </c>
      <c r="AB73" s="1477">
        <f t="shared" ref="AB73" si="538">SUM(AB71:AB72)</f>
        <v>0.99999999999999989</v>
      </c>
      <c r="AC73" s="1477">
        <f t="shared" ref="AC73" si="539">SUM(AC71:AC72)</f>
        <v>0.99999999999999978</v>
      </c>
      <c r="AD73" s="1477">
        <f t="shared" ref="AD73" si="540">SUM(AD71:AD72)</f>
        <v>0.99999999999999922</v>
      </c>
      <c r="AE73" s="1477">
        <f t="shared" ref="AE73" si="541">SUM(AE71:AE72)</f>
        <v>1.0000000000000009</v>
      </c>
      <c r="AF73" s="250"/>
      <c r="AG73" s="250"/>
      <c r="AH73" s="250"/>
      <c r="AI73" s="250"/>
      <c r="AJ73" s="250"/>
      <c r="AK73" s="250"/>
      <c r="AL73" s="250"/>
      <c r="AM73" s="250"/>
      <c r="AN73" s="250"/>
      <c r="AO73" s="250"/>
      <c r="AP73" s="250"/>
      <c r="AQ73" s="250"/>
      <c r="AR73" s="250"/>
      <c r="AS73" s="250"/>
      <c r="AT73" s="250"/>
      <c r="AU73" s="250"/>
      <c r="AV73" s="1477" t="s">
        <v>360</v>
      </c>
      <c r="AW73" s="1477"/>
      <c r="AX73" s="1477">
        <f>SUM(AX71:AX72)</f>
        <v>0.99999999999999978</v>
      </c>
      <c r="AY73" s="1477">
        <f t="shared" ref="AY73:BC73" si="542">SUM(AY71:AY72)</f>
        <v>0.99999999999999989</v>
      </c>
      <c r="AZ73" s="1477">
        <f t="shared" si="542"/>
        <v>1</v>
      </c>
      <c r="BA73" s="1477">
        <f t="shared" si="542"/>
        <v>1</v>
      </c>
      <c r="BB73" s="1477">
        <f t="shared" si="542"/>
        <v>0.99999999999999989</v>
      </c>
      <c r="BC73" s="1477">
        <f t="shared" si="542"/>
        <v>1</v>
      </c>
      <c r="BD73" s="409"/>
      <c r="BQ73" s="398"/>
      <c r="CI73" s="1477" t="s">
        <v>360</v>
      </c>
      <c r="CJ73" s="1477"/>
      <c r="CK73" s="1477">
        <f t="shared" ref="CK73:CV73" si="543">SUM(CK71:CK72)</f>
        <v>1</v>
      </c>
      <c r="CL73" s="1477">
        <f t="shared" si="543"/>
        <v>0.99999999999999989</v>
      </c>
      <c r="CM73" s="1477">
        <f t="shared" si="543"/>
        <v>1</v>
      </c>
      <c r="CN73" s="1477">
        <f t="shared" si="543"/>
        <v>1</v>
      </c>
      <c r="CO73" s="1477">
        <f t="shared" si="543"/>
        <v>1</v>
      </c>
      <c r="CP73" s="1477">
        <f t="shared" si="543"/>
        <v>1</v>
      </c>
      <c r="CQ73" s="1477">
        <f t="shared" si="543"/>
        <v>1</v>
      </c>
      <c r="CR73" s="1477">
        <f t="shared" si="543"/>
        <v>1</v>
      </c>
      <c r="CS73" s="1477">
        <f t="shared" si="543"/>
        <v>1</v>
      </c>
      <c r="CT73" s="1477">
        <f t="shared" si="543"/>
        <v>1</v>
      </c>
      <c r="CU73" s="1477">
        <f t="shared" si="543"/>
        <v>1</v>
      </c>
      <c r="CV73" s="1477">
        <f t="shared" si="543"/>
        <v>1</v>
      </c>
      <c r="CY73" s="435"/>
      <c r="CZ73" s="435"/>
      <c r="DA73" s="435"/>
      <c r="DB73" s="435"/>
      <c r="DC73" s="435"/>
      <c r="DD73" s="435"/>
      <c r="DE73" s="435"/>
      <c r="DF73" s="435"/>
      <c r="DG73" s="435"/>
      <c r="DH73" s="435"/>
      <c r="DI73" s="435"/>
      <c r="DJ73" s="398"/>
      <c r="DL73" s="398"/>
      <c r="DM73" s="398"/>
      <c r="DN73" s="398"/>
      <c r="DO73" s="398"/>
      <c r="DP73" s="398"/>
      <c r="DQ73" s="398"/>
      <c r="DR73" s="398"/>
      <c r="DS73" s="398"/>
      <c r="DT73" s="398"/>
      <c r="DU73" s="398"/>
      <c r="DV73" s="398"/>
      <c r="DW73" s="398"/>
      <c r="DX73" s="398"/>
      <c r="EM73" s="398"/>
      <c r="EN73" s="398"/>
      <c r="EO73" s="398"/>
      <c r="EP73" s="398"/>
      <c r="EQ73" s="398"/>
      <c r="ER73" s="398"/>
      <c r="EW73" s="259"/>
      <c r="EX73" s="259"/>
      <c r="EY73" s="259"/>
      <c r="EZ73" s="259"/>
      <c r="FA73" s="259"/>
      <c r="FB73" s="259"/>
      <c r="FC73" s="259"/>
      <c r="FD73" s="259"/>
      <c r="FE73" s="259"/>
      <c r="FF73" s="259"/>
      <c r="FG73" s="259"/>
      <c r="FH73" s="259"/>
      <c r="FI73" s="259"/>
      <c r="FJ73" s="259"/>
      <c r="FK73" s="259"/>
      <c r="FL73" s="259"/>
      <c r="FM73" s="259"/>
      <c r="FN73" s="259"/>
      <c r="FO73" s="259"/>
      <c r="FP73" s="259"/>
      <c r="FQ73" s="259"/>
      <c r="FR73" s="259"/>
      <c r="FS73" s="259"/>
      <c r="FT73" s="259"/>
      <c r="FU73" s="259"/>
      <c r="FV73" s="259"/>
      <c r="FW73" s="259"/>
      <c r="FX73" s="259"/>
      <c r="FY73" s="259"/>
      <c r="FZ73" s="259"/>
      <c r="GA73" s="259"/>
      <c r="GB73" s="259"/>
      <c r="GC73" s="259"/>
      <c r="GD73" s="259"/>
      <c r="GE73" s="259"/>
      <c r="GF73" s="259"/>
      <c r="GG73" s="259"/>
      <c r="GH73" s="259"/>
      <c r="GI73" s="259"/>
      <c r="GJ73" s="259"/>
      <c r="GK73" s="259"/>
      <c r="GL73" s="259"/>
      <c r="GM73" s="259"/>
      <c r="GN73" s="259"/>
      <c r="GO73" s="259"/>
      <c r="GP73" s="259"/>
      <c r="GQ73" s="259"/>
      <c r="GR73" s="259"/>
      <c r="GS73" s="310"/>
      <c r="GT73" s="1294"/>
      <c r="GU73" s="412"/>
      <c r="GV73" s="242"/>
      <c r="GW73" s="413"/>
      <c r="GX73" s="413"/>
      <c r="GY73" s="413"/>
      <c r="GZ73" s="413"/>
      <c r="HA73" s="413"/>
      <c r="HB73" s="413"/>
      <c r="HC73" s="413"/>
      <c r="HD73" s="413"/>
      <c r="HE73" s="413"/>
      <c r="HF73" s="413"/>
      <c r="HG73" s="413"/>
      <c r="HH73" s="413"/>
      <c r="HJ73" s="928"/>
      <c r="HK73" s="413"/>
      <c r="HL73" s="928"/>
      <c r="HM73" s="413"/>
      <c r="HN73" s="928"/>
      <c r="HO73" s="2019"/>
      <c r="HP73" s="1999"/>
      <c r="HQ73" s="310"/>
      <c r="HR73" s="2149" t="str">
        <f t="shared" ref="HR73:HW74" si="544">AX10</f>
        <v>Kvartal 2</v>
      </c>
      <c r="HS73" s="2149" t="str">
        <f t="shared" si="544"/>
        <v>Kvartal 2</v>
      </c>
      <c r="HT73" s="2149" t="str">
        <f t="shared" si="544"/>
        <v>Kvartal 1-2</v>
      </c>
      <c r="HU73" s="2149" t="str">
        <f t="shared" si="544"/>
        <v>Kvartal 1-2</v>
      </c>
      <c r="HV73" s="2149" t="str">
        <f t="shared" si="544"/>
        <v>Kvartal 2, R12</v>
      </c>
      <c r="HW73" s="2149" t="str">
        <f t="shared" si="544"/>
        <v>Helår</v>
      </c>
      <c r="HX73" s="310"/>
      <c r="HY73" s="310"/>
      <c r="HZ73" s="2"/>
      <c r="IA73" s="412"/>
      <c r="IB73" s="928"/>
      <c r="IC73" s="413"/>
      <c r="ID73" s="928"/>
      <c r="IE73" s="413"/>
      <c r="IF73" s="928"/>
      <c r="IG73" s="2019"/>
      <c r="IH73" s="1219"/>
      <c r="JG73" s="402"/>
      <c r="JH73" s="402"/>
      <c r="JI73" s="402"/>
      <c r="JN73" s="402"/>
      <c r="JO73" s="402"/>
      <c r="JP73" s="402"/>
    </row>
    <row r="74" spans="2:276" s="396" customFormat="1" ht="11.25" customHeight="1" outlineLevel="1" x14ac:dyDescent="0.35">
      <c r="D74" s="409"/>
      <c r="E74" s="409"/>
      <c r="F74" s="409"/>
      <c r="G74" s="409"/>
      <c r="H74" s="409"/>
      <c r="I74" s="409"/>
      <c r="J74" s="409"/>
      <c r="K74" s="409"/>
      <c r="L74" s="409"/>
      <c r="M74" s="409"/>
      <c r="N74" s="409"/>
      <c r="O74" s="409"/>
      <c r="P74" s="409"/>
      <c r="Q74" s="409"/>
      <c r="R74" s="409"/>
      <c r="S74" s="409"/>
      <c r="T74" s="409"/>
      <c r="U74" s="409"/>
      <c r="V74" s="409"/>
      <c r="W74" s="409"/>
      <c r="X74" s="409"/>
      <c r="Y74" s="409"/>
      <c r="Z74" s="409"/>
      <c r="AA74" s="409"/>
      <c r="AB74" s="409"/>
      <c r="AC74" s="409"/>
      <c r="AD74" s="409"/>
      <c r="AE74" s="409"/>
      <c r="AF74" s="250"/>
      <c r="AG74" s="250"/>
      <c r="AH74" s="250"/>
      <c r="AI74" s="250"/>
      <c r="AJ74" s="250"/>
      <c r="AK74" s="250"/>
      <c r="AL74" s="250"/>
      <c r="AM74" s="250"/>
      <c r="AN74" s="250"/>
      <c r="AO74" s="250"/>
      <c r="AP74" s="250"/>
      <c r="AQ74" s="250"/>
      <c r="AR74" s="250"/>
      <c r="AS74" s="250"/>
      <c r="AT74" s="250"/>
      <c r="AU74" s="250"/>
      <c r="AV74" s="409"/>
      <c r="AW74" s="409"/>
      <c r="AX74" s="409"/>
      <c r="AY74" s="409"/>
      <c r="AZ74" s="409"/>
      <c r="BA74" s="409"/>
      <c r="BB74" s="409"/>
      <c r="BC74" s="409"/>
      <c r="BQ74" s="398"/>
      <c r="CY74" s="1013"/>
      <c r="CZ74" s="1013"/>
      <c r="DA74" s="1013"/>
      <c r="DB74" s="1013"/>
      <c r="DC74" s="1013"/>
      <c r="DD74" s="1013"/>
      <c r="DE74" s="1013"/>
      <c r="DF74" s="1013"/>
      <c r="DG74" s="1013"/>
      <c r="DH74" s="1013"/>
      <c r="DI74" s="1013"/>
      <c r="DJ74" s="398"/>
      <c r="DL74" s="398"/>
      <c r="DM74" s="398"/>
      <c r="DN74" s="398"/>
      <c r="DO74" s="398"/>
      <c r="DP74" s="398"/>
      <c r="DQ74" s="398"/>
      <c r="DR74" s="398"/>
      <c r="DS74" s="398"/>
      <c r="DT74" s="398"/>
      <c r="DU74" s="398"/>
      <c r="DV74" s="398"/>
      <c r="DW74" s="398"/>
      <c r="DX74" s="398"/>
      <c r="EM74" s="420"/>
      <c r="EN74" s="420"/>
      <c r="EO74" s="420"/>
      <c r="EP74" s="420"/>
      <c r="EQ74" s="420"/>
      <c r="ER74" s="420"/>
      <c r="EW74" s="259"/>
      <c r="EX74" s="259"/>
      <c r="EY74" s="259"/>
      <c r="EZ74" s="259"/>
      <c r="FA74" s="259"/>
      <c r="FB74" s="259"/>
      <c r="FC74" s="259"/>
      <c r="FD74" s="259"/>
      <c r="FE74" s="259"/>
      <c r="FF74" s="259"/>
      <c r="FG74" s="259"/>
      <c r="FH74" s="259"/>
      <c r="FI74" s="259"/>
      <c r="FJ74" s="259"/>
      <c r="FK74" s="259"/>
      <c r="FL74" s="259"/>
      <c r="FM74" s="259"/>
      <c r="FN74" s="259"/>
      <c r="FO74" s="259"/>
      <c r="FP74" s="259"/>
      <c r="FQ74" s="259"/>
      <c r="FR74" s="259"/>
      <c r="FS74" s="259"/>
      <c r="FT74" s="259"/>
      <c r="FU74" s="259"/>
      <c r="FV74" s="259"/>
      <c r="FW74" s="259"/>
      <c r="FX74" s="259"/>
      <c r="FY74" s="259"/>
      <c r="FZ74" s="259"/>
      <c r="GA74" s="259"/>
      <c r="GB74" s="259"/>
      <c r="GC74" s="259"/>
      <c r="GD74" s="259"/>
      <c r="GE74" s="259"/>
      <c r="GF74" s="259"/>
      <c r="GG74" s="259"/>
      <c r="GH74" s="259"/>
      <c r="GI74" s="259"/>
      <c r="GJ74" s="259"/>
      <c r="GK74" s="259"/>
      <c r="GL74" s="259"/>
      <c r="GM74" s="259"/>
      <c r="GN74" s="259"/>
      <c r="GO74" s="259"/>
      <c r="GP74" s="259"/>
      <c r="GQ74" s="259"/>
      <c r="GR74" s="259"/>
      <c r="GS74" s="310"/>
      <c r="GT74" s="1294"/>
      <c r="GU74" s="923" t="s">
        <v>35</v>
      </c>
      <c r="GV74" s="242"/>
      <c r="GW74" s="1995">
        <f t="shared" ref="GW74:HH74" si="545">GW67/GW24*1000</f>
        <v>84.673604541154205</v>
      </c>
      <c r="GX74" s="1995">
        <f t="shared" si="545"/>
        <v>84.795242600351401</v>
      </c>
      <c r="GY74" s="1995">
        <f t="shared" si="545"/>
        <v>87.701040681173126</v>
      </c>
      <c r="GZ74" s="1995">
        <f t="shared" si="545"/>
        <v>88.876875253412607</v>
      </c>
      <c r="HA74" s="1995">
        <f t="shared" si="545"/>
        <v>95.783213947830788</v>
      </c>
      <c r="HB74" s="1995">
        <f t="shared" si="545"/>
        <v>92.134072171915122</v>
      </c>
      <c r="HC74" s="1995">
        <f t="shared" si="545"/>
        <v>94.472225976483301</v>
      </c>
      <c r="HD74" s="1995">
        <f t="shared" si="545"/>
        <v>94.445195296661709</v>
      </c>
      <c r="HE74" s="1995">
        <f t="shared" si="545"/>
        <v>97.648330855521024</v>
      </c>
      <c r="HF74" s="1995">
        <f t="shared" si="545"/>
        <v>107.40640627111772</v>
      </c>
      <c r="HG74" s="1995">
        <f t="shared" si="545"/>
        <v>0</v>
      </c>
      <c r="HH74" s="1995">
        <f t="shared" si="545"/>
        <v>0</v>
      </c>
      <c r="HI74" s="2317"/>
      <c r="HJ74" s="1203">
        <f t="shared" ref="HJ74:HO74" si="546">HJ67/HJ24*1000</f>
        <v>107.40640627111772</v>
      </c>
      <c r="HK74" s="2067">
        <f t="shared" si="546"/>
        <v>92.134072171915122</v>
      </c>
      <c r="HL74" s="1203">
        <f t="shared" si="546"/>
        <v>107.40640627111772</v>
      </c>
      <c r="HM74" s="2067">
        <f t="shared" si="546"/>
        <v>92.134072171915122</v>
      </c>
      <c r="HN74" s="1203">
        <f t="shared" si="546"/>
        <v>107.40640627111772</v>
      </c>
      <c r="HO74" s="2017">
        <f t="shared" si="546"/>
        <v>94.445195296661709</v>
      </c>
      <c r="HP74" s="1999"/>
      <c r="HQ74" s="310"/>
      <c r="HR74" s="2149">
        <f t="shared" si="544"/>
        <v>2026</v>
      </c>
      <c r="HS74" s="2149">
        <f t="shared" si="544"/>
        <v>2025</v>
      </c>
      <c r="HT74" s="2149">
        <f t="shared" si="544"/>
        <v>2026</v>
      </c>
      <c r="HU74" s="2149">
        <f t="shared" si="544"/>
        <v>2025</v>
      </c>
      <c r="HV74" s="2149">
        <f t="shared" si="544"/>
        <v>2026</v>
      </c>
      <c r="HW74" s="2149">
        <f t="shared" si="544"/>
        <v>2025</v>
      </c>
      <c r="HX74" s="310"/>
      <c r="HY74" s="310"/>
      <c r="HZ74" s="2"/>
      <c r="IA74" s="923" t="s">
        <v>379</v>
      </c>
      <c r="IB74" s="2066">
        <f t="shared" ref="IB74:IG77" si="547">HJ74</f>
        <v>107.40640627111772</v>
      </c>
      <c r="IC74" s="2067">
        <f t="shared" si="547"/>
        <v>92.134072171915122</v>
      </c>
      <c r="ID74" s="2066">
        <f t="shared" si="547"/>
        <v>107.40640627111772</v>
      </c>
      <c r="IE74" s="2067">
        <f t="shared" si="547"/>
        <v>92.134072171915122</v>
      </c>
      <c r="IF74" s="2066">
        <f t="shared" si="547"/>
        <v>107.40640627111772</v>
      </c>
      <c r="IG74" s="2070">
        <f t="shared" si="547"/>
        <v>94.445195296661709</v>
      </c>
      <c r="IH74" s="1221"/>
      <c r="JG74" s="402"/>
      <c r="JH74" s="402"/>
      <c r="JI74" s="402"/>
      <c r="JN74" s="402"/>
      <c r="JO74" s="402"/>
      <c r="JP74" s="402"/>
    </row>
    <row r="75" spans="2:276" s="396" customFormat="1" ht="11.25" customHeight="1" outlineLevel="1" x14ac:dyDescent="0.35">
      <c r="B75" s="409"/>
      <c r="C75" s="409"/>
      <c r="D75" s="1475" t="str">
        <f>D71</f>
        <v>Split: Majoritet</v>
      </c>
      <c r="E75" s="1475"/>
      <c r="G75" s="1475">
        <f t="shared" ref="G75:R75" si="548">G55/G$53</f>
        <v>0.92015209125475295</v>
      </c>
      <c r="H75" s="1475">
        <f t="shared" si="548"/>
        <v>0.9389204545454547</v>
      </c>
      <c r="I75" s="1475">
        <f t="shared" si="548"/>
        <v>0.93191489361702118</v>
      </c>
      <c r="J75" s="1475">
        <f t="shared" si="548"/>
        <v>0.93768257059396298</v>
      </c>
      <c r="K75" s="1475">
        <f t="shared" si="548"/>
        <v>0.96981132075471699</v>
      </c>
      <c r="L75" s="1475">
        <f t="shared" si="548"/>
        <v>0.95370370370370361</v>
      </c>
      <c r="M75" s="1475">
        <f t="shared" si="548"/>
        <v>0.95432692307692313</v>
      </c>
      <c r="N75" s="1475">
        <f t="shared" si="548"/>
        <v>0.94437726723095539</v>
      </c>
      <c r="O75" s="1475">
        <f t="shared" si="548"/>
        <v>0.96463022508038576</v>
      </c>
      <c r="P75" s="1475">
        <f t="shared" si="548"/>
        <v>0.97381671701913397</v>
      </c>
      <c r="Q75" s="1475">
        <f t="shared" si="548"/>
        <v>0.95432692307692313</v>
      </c>
      <c r="R75" s="1475">
        <f t="shared" si="548"/>
        <v>0.94437726723095539</v>
      </c>
      <c r="T75" s="1475">
        <f t="shared" ref="T75:AE75" si="549">T55/T$53</f>
        <v>0.92015209125475295</v>
      </c>
      <c r="U75" s="1475">
        <f t="shared" si="549"/>
        <v>0.95011337868480727</v>
      </c>
      <c r="V75" s="1475">
        <f t="shared" si="549"/>
        <v>0.91101694915254106</v>
      </c>
      <c r="W75" s="1475">
        <f t="shared" si="549"/>
        <v>1</v>
      </c>
      <c r="X75" s="1475">
        <f t="shared" si="549"/>
        <v>0.96981132075471699</v>
      </c>
      <c r="Y75" s="1475">
        <f t="shared" si="549"/>
        <v>0.88135593220338937</v>
      </c>
      <c r="Z75" s="1475">
        <f t="shared" si="549"/>
        <v>0.95652173913043459</v>
      </c>
      <c r="AA75" s="1475">
        <f t="shared" si="549"/>
        <v>2.6000000000002683</v>
      </c>
      <c r="AB75" s="1475">
        <f t="shared" si="549"/>
        <v>0.96463022508038576</v>
      </c>
      <c r="AC75" s="1475">
        <f t="shared" si="549"/>
        <v>0.97800586510263932</v>
      </c>
      <c r="AD75" s="1475">
        <f t="shared" si="549"/>
        <v>1.0745341614906831</v>
      </c>
      <c r="AE75" s="1475">
        <f t="shared" si="549"/>
        <v>2.6000000000002683</v>
      </c>
      <c r="AF75" s="250"/>
      <c r="AG75" s="250"/>
      <c r="AH75" s="250"/>
      <c r="AI75" s="250"/>
      <c r="AJ75" s="250"/>
      <c r="AK75" s="250"/>
      <c r="AL75" s="250"/>
      <c r="AM75" s="250"/>
      <c r="AN75" s="250"/>
      <c r="AO75" s="250"/>
      <c r="AP75" s="250"/>
      <c r="AQ75" s="250"/>
      <c r="AR75" s="250"/>
      <c r="AS75" s="250"/>
      <c r="AT75" s="250"/>
      <c r="AU75" s="250"/>
      <c r="AV75" s="1475" t="str">
        <f>AV71</f>
        <v>Split: Majoritet</v>
      </c>
      <c r="AW75" s="1475"/>
      <c r="AX75" s="1475">
        <f t="shared" ref="AX75:BC76" si="550">AX55/AX$53</f>
        <v>0.97800586510263932</v>
      </c>
      <c r="AY75" s="1475">
        <f t="shared" si="550"/>
        <v>0.88135593220338937</v>
      </c>
      <c r="AZ75" s="1475">
        <f t="shared" si="550"/>
        <v>0.97381671701913397</v>
      </c>
      <c r="BA75" s="1475">
        <f t="shared" si="550"/>
        <v>0.95370370370370361</v>
      </c>
      <c r="BB75" s="1475">
        <f t="shared" si="550"/>
        <v>0.96416382252559729</v>
      </c>
      <c r="BC75" s="1475">
        <f t="shared" si="550"/>
        <v>0.94437726723095539</v>
      </c>
      <c r="BE75" s="409"/>
      <c r="BQ75" s="398"/>
      <c r="CG75" s="409"/>
      <c r="CY75" s="1014"/>
      <c r="CZ75" s="1014"/>
      <c r="DA75" s="1014"/>
      <c r="DB75" s="1014"/>
      <c r="DC75" s="1014"/>
      <c r="DD75" s="1014"/>
      <c r="DE75" s="1014"/>
      <c r="DF75" s="1014"/>
      <c r="DG75" s="1014"/>
      <c r="DH75" s="1014"/>
      <c r="DI75" s="1014"/>
      <c r="DJ75" s="410"/>
      <c r="DK75" s="409"/>
      <c r="DL75" s="410"/>
      <c r="DM75" s="410"/>
      <c r="DN75" s="410"/>
      <c r="DO75" s="410"/>
      <c r="DP75" s="410"/>
      <c r="DQ75" s="410"/>
      <c r="DR75" s="410"/>
      <c r="DS75" s="410"/>
      <c r="DT75" s="410"/>
      <c r="DU75" s="410"/>
      <c r="DV75" s="410"/>
      <c r="DW75" s="410"/>
      <c r="DX75" s="410"/>
      <c r="DY75" s="409"/>
      <c r="DZ75" s="409"/>
      <c r="EA75" s="409"/>
      <c r="EB75" s="409"/>
      <c r="EC75" s="409"/>
      <c r="ED75" s="409"/>
      <c r="EE75" s="409"/>
      <c r="EF75" s="409"/>
      <c r="EM75" s="420"/>
      <c r="EN75" s="420"/>
      <c r="EO75" s="420"/>
      <c r="EP75" s="420"/>
      <c r="EQ75" s="420"/>
      <c r="ER75" s="420"/>
      <c r="EW75" s="259"/>
      <c r="EX75" s="259"/>
      <c r="EY75" s="259"/>
      <c r="EZ75" s="259"/>
      <c r="FA75" s="259"/>
      <c r="FB75" s="259"/>
      <c r="FC75" s="259"/>
      <c r="FD75" s="259"/>
      <c r="FE75" s="259"/>
      <c r="FF75" s="259"/>
      <c r="FG75" s="259"/>
      <c r="FH75" s="259"/>
      <c r="FI75" s="259"/>
      <c r="FJ75" s="259"/>
      <c r="FK75" s="259"/>
      <c r="FL75" s="259"/>
      <c r="FM75" s="259"/>
      <c r="FN75" s="259"/>
      <c r="FO75" s="259"/>
      <c r="FP75" s="259"/>
      <c r="FQ75" s="259"/>
      <c r="FR75" s="259"/>
      <c r="FS75" s="259"/>
      <c r="FT75" s="259"/>
      <c r="FU75" s="259"/>
      <c r="FV75" s="259"/>
      <c r="FW75" s="259"/>
      <c r="FX75" s="259"/>
      <c r="FY75" s="259"/>
      <c r="FZ75" s="259"/>
      <c r="GA75" s="259"/>
      <c r="GB75" s="259"/>
      <c r="GC75" s="259"/>
      <c r="GD75" s="259"/>
      <c r="GE75" s="259"/>
      <c r="GF75" s="259"/>
      <c r="GG75" s="259"/>
      <c r="GH75" s="259"/>
      <c r="GI75" s="259"/>
      <c r="GJ75" s="259"/>
      <c r="GK75" s="259"/>
      <c r="GL75" s="259"/>
      <c r="GM75" s="259"/>
      <c r="GN75" s="259"/>
      <c r="GO75" s="259"/>
      <c r="GP75" s="259"/>
      <c r="GQ75" s="259"/>
      <c r="GR75" s="259"/>
      <c r="GS75" s="310"/>
      <c r="GT75" s="1294"/>
      <c r="GU75" s="1171" t="s">
        <v>911</v>
      </c>
      <c r="GV75" s="242"/>
      <c r="GW75" s="1996">
        <f t="shared" ref="GW75:HH75" si="551">((GW288-GW286)*1000)/GW$23</f>
        <v>-0.28382213812677387</v>
      </c>
      <c r="GX75" s="1996">
        <f t="shared" si="551"/>
        <v>-0.2973374780375726</v>
      </c>
      <c r="GY75" s="1996">
        <f t="shared" si="551"/>
        <v>-0.28382213812677393</v>
      </c>
      <c r="GZ75" s="1996">
        <f t="shared" si="551"/>
        <v>0</v>
      </c>
      <c r="HA75" s="1996">
        <f t="shared" si="551"/>
        <v>6.0143262603054604</v>
      </c>
      <c r="HB75" s="1996">
        <f t="shared" si="551"/>
        <v>3.2707122584132793</v>
      </c>
      <c r="HC75" s="1996">
        <f t="shared" si="551"/>
        <v>3.1625895391269219</v>
      </c>
      <c r="HD75" s="1996">
        <f t="shared" si="551"/>
        <v>1.8245708879578446</v>
      </c>
      <c r="HE75" s="1996">
        <f t="shared" si="551"/>
        <v>4.8249763481551531</v>
      </c>
      <c r="HF75" s="1996">
        <f t="shared" si="551"/>
        <v>9.3390998783619494</v>
      </c>
      <c r="HG75" s="1996">
        <f t="shared" si="551"/>
        <v>-1.7164481686714483</v>
      </c>
      <c r="HH75" s="1996">
        <f t="shared" si="551"/>
        <v>1.8245708879578446</v>
      </c>
      <c r="HJ75" s="1203">
        <f t="shared" ref="HJ75:HO77" si="552">HJ294</f>
        <v>9.3390998783619494</v>
      </c>
      <c r="HK75" s="1204">
        <f t="shared" si="552"/>
        <v>3.2707122584132793</v>
      </c>
      <c r="HL75" s="1203">
        <f t="shared" si="552"/>
        <v>14.164076226517105</v>
      </c>
      <c r="HM75" s="1204">
        <f t="shared" si="552"/>
        <v>9.2850385187187392</v>
      </c>
      <c r="HN75" s="1203">
        <f t="shared" si="552"/>
        <v>19.15123665360187</v>
      </c>
      <c r="HO75" s="2017">
        <f t="shared" si="552"/>
        <v>14.272198945803508</v>
      </c>
      <c r="HP75" s="2116"/>
      <c r="HQ75" s="310"/>
      <c r="HR75" s="2143">
        <f t="shared" ref="HR75:HW77" si="553">AX40</f>
        <v>9.34</v>
      </c>
      <c r="HS75" s="2144">
        <f t="shared" si="553"/>
        <v>3.2800000000000011</v>
      </c>
      <c r="HT75" s="2143">
        <f t="shared" si="553"/>
        <v>14.16</v>
      </c>
      <c r="HU75" s="2144">
        <f t="shared" si="553"/>
        <v>9.3000000000000007</v>
      </c>
      <c r="HV75" s="2143">
        <f t="shared" si="553"/>
        <v>19.719480589692242</v>
      </c>
      <c r="HW75" s="2144">
        <f t="shared" si="553"/>
        <v>14.27</v>
      </c>
      <c r="HX75" s="310"/>
      <c r="HY75" s="310"/>
      <c r="HZ75" s="2"/>
      <c r="IA75" s="1171" t="s">
        <v>913</v>
      </c>
      <c r="IB75" s="2066">
        <f t="shared" si="547"/>
        <v>9.3390998783619494</v>
      </c>
      <c r="IC75" s="2067">
        <f t="shared" si="547"/>
        <v>3.2707122584132793</v>
      </c>
      <c r="ID75" s="2066">
        <f t="shared" si="547"/>
        <v>14.164076226517105</v>
      </c>
      <c r="IE75" s="2067">
        <f t="shared" si="547"/>
        <v>9.2850385187187392</v>
      </c>
      <c r="IF75" s="2066">
        <f t="shared" si="547"/>
        <v>19.15123665360187</v>
      </c>
      <c r="IG75" s="2070">
        <f t="shared" si="547"/>
        <v>14.272198945803508</v>
      </c>
      <c r="IH75" s="1221"/>
      <c r="JG75" s="402"/>
      <c r="JH75" s="402"/>
      <c r="JI75" s="402"/>
      <c r="JN75" s="402"/>
      <c r="JO75" s="402"/>
      <c r="JP75" s="402"/>
    </row>
    <row r="76" spans="2:276" s="396" customFormat="1" ht="9.9499999999999993" customHeight="1" outlineLevel="1" x14ac:dyDescent="0.2">
      <c r="D76" s="1476" t="str">
        <f t="shared" ref="D76:D77" si="554">D72</f>
        <v>Split: Minoritet</v>
      </c>
      <c r="E76" s="1476"/>
      <c r="G76" s="1476">
        <f t="shared" ref="G76:R76" si="555">G56/G$53</f>
        <v>7.9847908745247026E-2</v>
      </c>
      <c r="H76" s="1476">
        <f t="shared" si="555"/>
        <v>6.1079545454545359E-2</v>
      </c>
      <c r="I76" s="1476">
        <f t="shared" si="555"/>
        <v>6.8085106382978794E-2</v>
      </c>
      <c r="J76" s="1476">
        <f t="shared" si="555"/>
        <v>6.231742940603692E-2</v>
      </c>
      <c r="K76" s="1476">
        <f t="shared" si="555"/>
        <v>3.0188679245282984E-2</v>
      </c>
      <c r="L76" s="1476">
        <f t="shared" si="555"/>
        <v>4.6296296296296349E-2</v>
      </c>
      <c r="M76" s="1476">
        <f t="shared" si="555"/>
        <v>4.5673076923076913E-2</v>
      </c>
      <c r="N76" s="1476">
        <f t="shared" si="555"/>
        <v>5.5622732769044655E-2</v>
      </c>
      <c r="O76" s="1476">
        <f t="shared" si="555"/>
        <v>3.5369774919614162E-2</v>
      </c>
      <c r="P76" s="1476">
        <f t="shared" si="555"/>
        <v>2.6183282980866054E-2</v>
      </c>
      <c r="Q76" s="1476">
        <f t="shared" si="555"/>
        <v>4.5673076923076913E-2</v>
      </c>
      <c r="R76" s="1476">
        <f t="shared" si="555"/>
        <v>5.5622732769044655E-2</v>
      </c>
      <c r="T76" s="1476">
        <f t="shared" ref="T76:AE76" si="556">T56/T$53</f>
        <v>7.9847908745247026E-2</v>
      </c>
      <c r="U76" s="1476">
        <f t="shared" si="556"/>
        <v>4.9886621315192663E-2</v>
      </c>
      <c r="V76" s="1476">
        <f t="shared" si="556"/>
        <v>8.8983050847458403E-2</v>
      </c>
      <c r="W76" s="1476">
        <f t="shared" si="556"/>
        <v>0</v>
      </c>
      <c r="X76" s="1476">
        <f t="shared" si="556"/>
        <v>3.0188679245282984E-2</v>
      </c>
      <c r="Y76" s="1476">
        <f t="shared" si="556"/>
        <v>0.11864406779661166</v>
      </c>
      <c r="Z76" s="1476">
        <f t="shared" si="556"/>
        <v>4.3478260869564966E-2</v>
      </c>
      <c r="AA76" s="1476">
        <f t="shared" si="556"/>
        <v>-1.6000000000002905</v>
      </c>
      <c r="AB76" s="1476">
        <f t="shared" si="556"/>
        <v>3.5369774919614162E-2</v>
      </c>
      <c r="AC76" s="1476">
        <f t="shared" si="556"/>
        <v>2.1994134897360684E-2</v>
      </c>
      <c r="AD76" s="1476">
        <f t="shared" si="556"/>
        <v>-7.4534161490683093E-2</v>
      </c>
      <c r="AE76" s="1476">
        <f t="shared" si="556"/>
        <v>-1.6000000000002905</v>
      </c>
      <c r="AV76" s="1476" t="str">
        <f t="shared" ref="AV76:AV77" si="557">AV72</f>
        <v>Split: Minoritet</v>
      </c>
      <c r="AW76" s="1476"/>
      <c r="AX76" s="1476">
        <f t="shared" si="550"/>
        <v>2.1994134897360684E-2</v>
      </c>
      <c r="AY76" s="1476">
        <f t="shared" si="550"/>
        <v>0.11864406779661166</v>
      </c>
      <c r="AZ76" s="1476">
        <f t="shared" si="550"/>
        <v>2.6183282980866054E-2</v>
      </c>
      <c r="BA76" s="1476">
        <f t="shared" si="550"/>
        <v>4.6296296296296349E-2</v>
      </c>
      <c r="BB76" s="1476">
        <f t="shared" si="550"/>
        <v>3.5836177474402653E-2</v>
      </c>
      <c r="BC76" s="1476">
        <f t="shared" si="550"/>
        <v>5.5622732769044655E-2</v>
      </c>
      <c r="BQ76" s="398"/>
      <c r="CY76" s="398"/>
      <c r="CZ76" s="398"/>
      <c r="DA76" s="398"/>
      <c r="DB76" s="398"/>
      <c r="DC76" s="398"/>
      <c r="DD76" s="398"/>
      <c r="DE76" s="398"/>
      <c r="DF76" s="398"/>
      <c r="DG76" s="398"/>
      <c r="DH76" s="398"/>
      <c r="DI76" s="398"/>
      <c r="DJ76" s="398"/>
      <c r="DL76" s="398"/>
      <c r="DM76" s="398"/>
      <c r="DN76" s="398"/>
      <c r="DO76" s="398"/>
      <c r="DP76" s="398"/>
      <c r="DQ76" s="398"/>
      <c r="DR76" s="398"/>
      <c r="DS76" s="398"/>
      <c r="DT76" s="398"/>
      <c r="DU76" s="398"/>
      <c r="DV76" s="398"/>
      <c r="DW76" s="398"/>
      <c r="DX76" s="398"/>
      <c r="EW76" s="259"/>
      <c r="EX76" s="259"/>
      <c r="EY76" s="259"/>
      <c r="EZ76" s="259"/>
      <c r="FA76" s="259"/>
      <c r="FB76" s="259"/>
      <c r="FC76" s="259"/>
      <c r="FD76" s="259"/>
      <c r="FE76" s="259"/>
      <c r="FF76" s="259"/>
      <c r="FG76" s="259"/>
      <c r="FH76" s="259"/>
      <c r="FI76" s="259"/>
      <c r="FJ76" s="259"/>
      <c r="FK76" s="259"/>
      <c r="FL76" s="259"/>
      <c r="FM76" s="259"/>
      <c r="FN76" s="259"/>
      <c r="FO76" s="259"/>
      <c r="FP76" s="259"/>
      <c r="FQ76" s="259"/>
      <c r="FR76" s="259"/>
      <c r="FS76" s="259"/>
      <c r="FT76" s="259"/>
      <c r="FU76" s="259"/>
      <c r="FV76" s="259"/>
      <c r="FW76" s="259"/>
      <c r="FX76" s="259"/>
      <c r="FY76" s="259"/>
      <c r="FZ76" s="259"/>
      <c r="GA76" s="259"/>
      <c r="GB76" s="259"/>
      <c r="GC76" s="259"/>
      <c r="GD76" s="259"/>
      <c r="GE76" s="259"/>
      <c r="GF76" s="259"/>
      <c r="GG76" s="259"/>
      <c r="GH76" s="259"/>
      <c r="GI76" s="259"/>
      <c r="GJ76" s="259"/>
      <c r="GK76" s="259"/>
      <c r="GL76" s="259"/>
      <c r="GM76" s="259"/>
      <c r="GN76" s="259"/>
      <c r="GO76" s="259"/>
      <c r="GP76" s="259"/>
      <c r="GQ76" s="259"/>
      <c r="GR76" s="259"/>
      <c r="GS76" s="310"/>
      <c r="GT76" s="1294"/>
      <c r="GU76" s="923" t="s">
        <v>910</v>
      </c>
      <c r="GV76" s="242"/>
      <c r="GW76" s="1996">
        <f t="shared" ref="GW76:HH76" si="558">((GW289)*1000)/GW$23</f>
        <v>0</v>
      </c>
      <c r="GX76" s="1996">
        <f t="shared" si="558"/>
        <v>0</v>
      </c>
      <c r="GY76" s="1996">
        <f t="shared" si="558"/>
        <v>0</v>
      </c>
      <c r="GZ76" s="1996">
        <f t="shared" si="558"/>
        <v>0</v>
      </c>
      <c r="HA76" s="1996">
        <f t="shared" si="558"/>
        <v>-0.36491417759156641</v>
      </c>
      <c r="HB76" s="1996">
        <f t="shared" si="558"/>
        <v>-1.0136504933099066</v>
      </c>
      <c r="HC76" s="1996">
        <f t="shared" si="558"/>
        <v>-0.87849709420191968</v>
      </c>
      <c r="HD76" s="1996">
        <f t="shared" si="558"/>
        <v>-2.0813623462630084</v>
      </c>
      <c r="HE76" s="1996">
        <f t="shared" si="558"/>
        <v>-0.3784295175023652</v>
      </c>
      <c r="HF76" s="1996">
        <f t="shared" si="558"/>
        <v>-8.1092039464792556E-2</v>
      </c>
      <c r="HG76" s="1996">
        <f t="shared" si="558"/>
        <v>-1.7975402081362348</v>
      </c>
      <c r="HH76" s="1996">
        <f t="shared" si="558"/>
        <v>-2.0813623462630084</v>
      </c>
      <c r="HJ76" s="2066">
        <f t="shared" si="552"/>
        <v>-8.1092039464792556E-2</v>
      </c>
      <c r="HK76" s="2067">
        <f t="shared" si="552"/>
        <v>-1.0136504933099066</v>
      </c>
      <c r="HL76" s="2066">
        <f t="shared" si="552"/>
        <v>-0.45952155696715774</v>
      </c>
      <c r="HM76" s="2067">
        <f t="shared" si="552"/>
        <v>-1.3785646709014732</v>
      </c>
      <c r="HN76" s="2066">
        <f t="shared" si="552"/>
        <v>-3.4193809974320861</v>
      </c>
      <c r="HO76" s="2070">
        <f t="shared" si="552"/>
        <v>-4.3384241113664013</v>
      </c>
      <c r="HP76" s="2117"/>
      <c r="HR76" s="2145">
        <f t="shared" si="553"/>
        <v>-8.9999999999999858E-2</v>
      </c>
      <c r="HS76" s="2146">
        <f t="shared" si="553"/>
        <v>-1.0200000000000014</v>
      </c>
      <c r="HT76" s="2145">
        <f t="shared" si="553"/>
        <v>-0.46000000000000085</v>
      </c>
      <c r="HU76" s="2146">
        <f t="shared" si="553"/>
        <v>-1.3900000000000006</v>
      </c>
      <c r="HV76" s="2145">
        <f t="shared" si="553"/>
        <v>-3.4194849823112619</v>
      </c>
      <c r="HW76" s="2146">
        <f t="shared" si="553"/>
        <v>-4.33</v>
      </c>
      <c r="HZ76" s="2"/>
      <c r="IA76" s="923" t="s">
        <v>917</v>
      </c>
      <c r="IB76" s="2066">
        <f t="shared" si="547"/>
        <v>-8.1092039464792556E-2</v>
      </c>
      <c r="IC76" s="2067">
        <f t="shared" si="547"/>
        <v>-1.0136504933099066</v>
      </c>
      <c r="ID76" s="2066">
        <f t="shared" si="547"/>
        <v>-0.45952155696715774</v>
      </c>
      <c r="IE76" s="2067">
        <f t="shared" si="547"/>
        <v>-1.3785646709014732</v>
      </c>
      <c r="IF76" s="2066">
        <f t="shared" si="547"/>
        <v>-3.4193809974320861</v>
      </c>
      <c r="IG76" s="2070">
        <f t="shared" si="547"/>
        <v>-4.3384241113664013</v>
      </c>
      <c r="IH76" s="1218"/>
      <c r="JG76" s="402"/>
      <c r="JH76" s="402"/>
      <c r="JI76" s="402"/>
      <c r="JN76" s="402"/>
      <c r="JO76" s="402"/>
      <c r="JP76" s="402"/>
    </row>
    <row r="77" spans="2:276" s="396" customFormat="1" ht="9.9499999999999993" customHeight="1" outlineLevel="1" x14ac:dyDescent="0.2">
      <c r="D77" s="1477" t="str">
        <f t="shared" si="554"/>
        <v>Total</v>
      </c>
      <c r="E77" s="1477"/>
      <c r="G77" s="1477">
        <f>SUM(G75:G76)</f>
        <v>1</v>
      </c>
      <c r="H77" s="1477">
        <f t="shared" ref="H77:R77" si="559">SUM(H75:H76)</f>
        <v>1</v>
      </c>
      <c r="I77" s="1477">
        <f t="shared" si="559"/>
        <v>1</v>
      </c>
      <c r="J77" s="1477">
        <f t="shared" si="559"/>
        <v>0.99999999999999989</v>
      </c>
      <c r="K77" s="1477">
        <f t="shared" si="559"/>
        <v>1</v>
      </c>
      <c r="L77" s="1477">
        <f t="shared" si="559"/>
        <v>1</v>
      </c>
      <c r="M77" s="1477">
        <f t="shared" si="559"/>
        <v>1</v>
      </c>
      <c r="N77" s="1477">
        <f t="shared" si="559"/>
        <v>1</v>
      </c>
      <c r="O77" s="1477">
        <f t="shared" si="559"/>
        <v>0.99999999999999989</v>
      </c>
      <c r="P77" s="1477">
        <f t="shared" si="559"/>
        <v>1</v>
      </c>
      <c r="Q77" s="1477">
        <f t="shared" si="559"/>
        <v>1</v>
      </c>
      <c r="R77" s="1477">
        <f t="shared" si="559"/>
        <v>1</v>
      </c>
      <c r="T77" s="1477">
        <f>SUM(T75:T76)</f>
        <v>1</v>
      </c>
      <c r="U77" s="1477">
        <f t="shared" ref="U77" si="560">SUM(U75:U76)</f>
        <v>0.99999999999999989</v>
      </c>
      <c r="V77" s="1477">
        <f t="shared" ref="V77" si="561">SUM(V75:V76)</f>
        <v>0.99999999999999944</v>
      </c>
      <c r="W77" s="1477">
        <f t="shared" ref="W77" si="562">SUM(W75:W76)</f>
        <v>1</v>
      </c>
      <c r="X77" s="1477">
        <f t="shared" ref="X77" si="563">SUM(X75:X76)</f>
        <v>1</v>
      </c>
      <c r="Y77" s="1477">
        <f t="shared" ref="Y77" si="564">SUM(Y75:Y76)</f>
        <v>1.0000000000000011</v>
      </c>
      <c r="Z77" s="1477">
        <f t="shared" ref="Z77" si="565">SUM(Z75:Z76)</f>
        <v>0.99999999999999956</v>
      </c>
      <c r="AA77" s="1477">
        <f t="shared" ref="AA77" si="566">SUM(AA75:AA76)</f>
        <v>0.9999999999999778</v>
      </c>
      <c r="AB77" s="1477">
        <f t="shared" ref="AB77" si="567">SUM(AB75:AB76)</f>
        <v>0.99999999999999989</v>
      </c>
      <c r="AC77" s="1477">
        <f t="shared" ref="AC77" si="568">SUM(AC75:AC76)</f>
        <v>1</v>
      </c>
      <c r="AD77" s="1477">
        <f t="shared" ref="AD77" si="569">SUM(AD75:AD76)</f>
        <v>1</v>
      </c>
      <c r="AE77" s="1477">
        <f t="shared" ref="AE77" si="570">SUM(AE75:AE76)</f>
        <v>0.9999999999999778</v>
      </c>
      <c r="AV77" s="1477" t="str">
        <f t="shared" si="557"/>
        <v>Total</v>
      </c>
      <c r="AW77" s="1477"/>
      <c r="AX77" s="1477">
        <f>SUM(AX75:AX76)</f>
        <v>1</v>
      </c>
      <c r="AY77" s="1477">
        <f t="shared" ref="AY77:BC77" si="571">SUM(AY75:AY76)</f>
        <v>1.0000000000000011</v>
      </c>
      <c r="AZ77" s="1477">
        <f t="shared" si="571"/>
        <v>1</v>
      </c>
      <c r="BA77" s="1477">
        <f t="shared" si="571"/>
        <v>1</v>
      </c>
      <c r="BB77" s="1477">
        <f t="shared" si="571"/>
        <v>1</v>
      </c>
      <c r="BC77" s="1477">
        <f t="shared" si="571"/>
        <v>1</v>
      </c>
      <c r="BQ77" s="398"/>
      <c r="CY77" s="398"/>
      <c r="CZ77" s="398"/>
      <c r="DA77" s="398"/>
      <c r="DB77" s="398"/>
      <c r="DC77" s="398"/>
      <c r="DD77" s="398"/>
      <c r="DE77" s="398"/>
      <c r="DF77" s="398"/>
      <c r="DG77" s="398"/>
      <c r="DH77" s="398"/>
      <c r="DI77" s="398"/>
      <c r="DJ77" s="398"/>
      <c r="DL77" s="398"/>
      <c r="DM77" s="398"/>
      <c r="DN77" s="398"/>
      <c r="DO77" s="398"/>
      <c r="DP77" s="398"/>
      <c r="DQ77" s="398"/>
      <c r="DR77" s="398"/>
      <c r="DS77" s="398"/>
      <c r="DT77" s="398"/>
      <c r="DU77" s="398"/>
      <c r="DV77" s="398"/>
      <c r="DW77" s="398"/>
      <c r="DX77" s="398"/>
      <c r="EW77" s="259"/>
      <c r="EX77" s="259"/>
      <c r="EY77" s="259"/>
      <c r="EZ77" s="259"/>
      <c r="FA77" s="259"/>
      <c r="FB77" s="259"/>
      <c r="FC77" s="259"/>
      <c r="FD77" s="259"/>
      <c r="FE77" s="259"/>
      <c r="FF77" s="259"/>
      <c r="FG77" s="259"/>
      <c r="FH77" s="259"/>
      <c r="FI77" s="259"/>
      <c r="FJ77" s="259"/>
      <c r="FK77" s="259"/>
      <c r="FL77" s="259"/>
      <c r="FM77" s="259"/>
      <c r="GT77" s="1294"/>
      <c r="GU77" s="1172" t="s">
        <v>909</v>
      </c>
      <c r="GV77" s="242"/>
      <c r="GW77" s="1997">
        <f t="shared" ref="GW77:HH77" si="572">((GW290-GW286)*1000)/GW$23</f>
        <v>3.4328963373428896</v>
      </c>
      <c r="GX77" s="1997">
        <f t="shared" si="572"/>
        <v>5.3250439248547172</v>
      </c>
      <c r="GY77" s="1997">
        <f t="shared" si="572"/>
        <v>2.2570617651033671</v>
      </c>
      <c r="GZ77" s="1997">
        <f t="shared" si="572"/>
        <v>1.6488714691174795</v>
      </c>
      <c r="HA77" s="1997">
        <f t="shared" si="572"/>
        <v>5.6494120827138943</v>
      </c>
      <c r="HB77" s="1997">
        <f t="shared" si="572"/>
        <v>2.2570617651033733</v>
      </c>
      <c r="HC77" s="1997">
        <f t="shared" si="572"/>
        <v>2.284092444925002</v>
      </c>
      <c r="HD77" s="1997">
        <f t="shared" si="572"/>
        <v>-0.25679145830516359</v>
      </c>
      <c r="HE77" s="1997">
        <f t="shared" si="572"/>
        <v>4.4465468306527889</v>
      </c>
      <c r="HF77" s="1997">
        <f t="shared" si="572"/>
        <v>9.2580078388971589</v>
      </c>
      <c r="HG77" s="1997">
        <f t="shared" si="572"/>
        <v>-3.5139883768076832</v>
      </c>
      <c r="HH77" s="1997">
        <f t="shared" si="572"/>
        <v>-0.25679145830516359</v>
      </c>
      <c r="HJ77" s="2095">
        <f t="shared" si="552"/>
        <v>9.2580078388971589</v>
      </c>
      <c r="HK77" s="2096">
        <f t="shared" si="552"/>
        <v>2.2570617651033733</v>
      </c>
      <c r="HL77" s="2095">
        <f t="shared" si="552"/>
        <v>13.704554669549948</v>
      </c>
      <c r="HM77" s="2096">
        <f t="shared" si="552"/>
        <v>7.9064738478172671</v>
      </c>
      <c r="HN77" s="2095">
        <f t="shared" si="552"/>
        <v>15.731855656169786</v>
      </c>
      <c r="HO77" s="2097">
        <f t="shared" si="552"/>
        <v>9.9337748344371057</v>
      </c>
      <c r="HP77" s="2116"/>
      <c r="HR77" s="2147">
        <f t="shared" si="553"/>
        <v>9.25</v>
      </c>
      <c r="HS77" s="2148">
        <f t="shared" si="553"/>
        <v>2.2599999999999998</v>
      </c>
      <c r="HT77" s="2147">
        <f t="shared" si="553"/>
        <v>13.7</v>
      </c>
      <c r="HU77" s="2148">
        <f t="shared" si="553"/>
        <v>7.91</v>
      </c>
      <c r="HV77" s="2147">
        <f t="shared" si="553"/>
        <v>16.299995607380982</v>
      </c>
      <c r="HW77" s="2148">
        <f t="shared" si="553"/>
        <v>9.94</v>
      </c>
      <c r="HZ77" s="210"/>
      <c r="IA77" s="1172" t="s">
        <v>915</v>
      </c>
      <c r="IB77" s="2095">
        <f t="shared" si="547"/>
        <v>9.2580078388971589</v>
      </c>
      <c r="IC77" s="2096">
        <f t="shared" si="547"/>
        <v>2.2570617651033733</v>
      </c>
      <c r="ID77" s="2095">
        <f t="shared" si="547"/>
        <v>13.704554669549948</v>
      </c>
      <c r="IE77" s="2096">
        <f t="shared" si="547"/>
        <v>7.9064738478172671</v>
      </c>
      <c r="IF77" s="2095">
        <f t="shared" si="547"/>
        <v>15.731855656169786</v>
      </c>
      <c r="IG77" s="2097">
        <f t="shared" si="547"/>
        <v>9.9337748344371057</v>
      </c>
      <c r="JG77" s="402"/>
      <c r="JH77" s="402"/>
      <c r="JI77" s="402"/>
      <c r="JN77" s="402"/>
      <c r="JO77" s="402"/>
      <c r="JP77" s="402"/>
    </row>
    <row r="78" spans="2:276" s="396" customFormat="1" ht="9" customHeight="1" outlineLevel="1" x14ac:dyDescent="0.2">
      <c r="BQ78" s="398"/>
      <c r="CY78" s="398"/>
      <c r="CZ78" s="398"/>
      <c r="DA78" s="398"/>
      <c r="DB78" s="398"/>
      <c r="DC78" s="398"/>
      <c r="DD78" s="398"/>
      <c r="DE78" s="398"/>
      <c r="DF78" s="398"/>
      <c r="DG78" s="398"/>
      <c r="DH78" s="398"/>
      <c r="DI78" s="398"/>
      <c r="DJ78" s="398"/>
      <c r="DL78" s="398"/>
      <c r="DM78" s="398"/>
      <c r="DN78" s="398"/>
      <c r="DO78" s="398"/>
      <c r="DP78" s="398"/>
      <c r="DQ78" s="398"/>
      <c r="DR78" s="398"/>
      <c r="DS78" s="398"/>
      <c r="DT78" s="398"/>
      <c r="DU78" s="398"/>
      <c r="DV78" s="398"/>
      <c r="DW78" s="398"/>
      <c r="DX78" s="398"/>
      <c r="EW78" s="259"/>
      <c r="EX78" s="259"/>
      <c r="EY78" s="259"/>
      <c r="EZ78" s="259"/>
      <c r="FA78" s="259"/>
      <c r="FB78" s="259"/>
      <c r="FC78" s="259"/>
      <c r="FD78" s="259"/>
      <c r="FE78" s="259"/>
      <c r="FF78" s="259"/>
      <c r="FG78" s="259"/>
      <c r="FH78" s="259"/>
      <c r="FI78" s="259"/>
      <c r="FJ78" s="259"/>
      <c r="FK78" s="259"/>
      <c r="FL78" s="259"/>
      <c r="FM78" s="259"/>
      <c r="GV78" s="242"/>
      <c r="HP78" s="2005"/>
      <c r="HQ78" s="2150" t="s">
        <v>181</v>
      </c>
      <c r="HR78" s="2133">
        <f>HR75-HJ75</f>
        <v>9.0012163805042178E-4</v>
      </c>
      <c r="HS78" s="2133">
        <f t="shared" ref="HS78:HW80" si="573">HS75-HK75</f>
        <v>9.2877415867218538E-3</v>
      </c>
      <c r="HT78" s="2133">
        <f t="shared" si="573"/>
        <v>-4.0762265171050416E-3</v>
      </c>
      <c r="HU78" s="2133">
        <f t="shared" si="573"/>
        <v>1.4961481281261513E-2</v>
      </c>
      <c r="HV78" s="2133">
        <f t="shared" si="573"/>
        <v>0.56824393609037216</v>
      </c>
      <c r="HW78" s="2133">
        <f t="shared" si="573"/>
        <v>-2.1989458035083231E-3</v>
      </c>
      <c r="HZ78" s="210"/>
      <c r="IB78" s="398"/>
      <c r="IC78" s="398"/>
      <c r="ID78" s="398"/>
      <c r="IE78" s="398"/>
      <c r="IF78" s="398"/>
      <c r="IG78" s="398"/>
      <c r="JG78" s="402"/>
      <c r="JH78" s="402"/>
      <c r="JI78" s="402"/>
      <c r="JN78" s="402"/>
      <c r="JO78" s="402"/>
      <c r="JP78" s="402"/>
    </row>
    <row r="79" spans="2:276" s="396" customFormat="1" ht="9.9499999999999993" customHeight="1" outlineLevel="1" x14ac:dyDescent="0.2">
      <c r="AF79" s="409"/>
      <c r="AG79" s="409"/>
      <c r="AH79" s="409"/>
      <c r="AI79" s="409"/>
      <c r="AJ79" s="409"/>
      <c r="AK79" s="409"/>
      <c r="AL79" s="409"/>
      <c r="AM79" s="409"/>
      <c r="AN79" s="409"/>
      <c r="AO79" s="409"/>
      <c r="AP79" s="409"/>
      <c r="AQ79" s="409"/>
      <c r="AR79" s="409"/>
      <c r="AS79" s="409"/>
      <c r="AT79" s="409"/>
      <c r="AU79" s="409"/>
      <c r="AV79" s="1479" t="str">
        <f>AV75</f>
        <v>Split: Majoritet</v>
      </c>
      <c r="AW79" s="1479"/>
      <c r="AX79" s="1479"/>
      <c r="AY79" s="1479"/>
      <c r="AZ79" s="1479"/>
      <c r="BA79" s="1479"/>
      <c r="BB79" s="1479">
        <v>0.95</v>
      </c>
      <c r="BC79" s="1479"/>
      <c r="BQ79" s="398"/>
      <c r="CY79" s="398"/>
      <c r="CZ79" s="398"/>
      <c r="DA79" s="398"/>
      <c r="DB79" s="398"/>
      <c r="DC79" s="398"/>
      <c r="DD79" s="398"/>
      <c r="DE79" s="398"/>
      <c r="DF79" s="398"/>
      <c r="DG79" s="398"/>
      <c r="DH79" s="398"/>
      <c r="DI79" s="398"/>
      <c r="DJ79" s="398"/>
      <c r="DL79" s="398"/>
      <c r="DM79" s="398"/>
      <c r="DN79" s="398"/>
      <c r="DO79" s="398"/>
      <c r="DP79" s="398"/>
      <c r="DQ79" s="398"/>
      <c r="DR79" s="398"/>
      <c r="DS79" s="398"/>
      <c r="DT79" s="398"/>
      <c r="DU79" s="398"/>
      <c r="DV79" s="398"/>
      <c r="DW79" s="398"/>
      <c r="DX79" s="398"/>
      <c r="EW79" s="259"/>
      <c r="GU79" s="1272" t="s">
        <v>417</v>
      </c>
      <c r="GV79" s="242"/>
      <c r="HJ79" s="1272"/>
      <c r="HK79" s="1272"/>
      <c r="HL79" s="1272"/>
      <c r="HM79" s="1272"/>
      <c r="HN79" s="1272"/>
      <c r="HO79" s="1272"/>
      <c r="HP79" s="1999"/>
      <c r="HQ79" s="2150" t="s">
        <v>181</v>
      </c>
      <c r="HR79" s="2133">
        <f t="shared" ref="HR79:HR80" si="574">HR76-HJ76</f>
        <v>-8.9079605352073016E-3</v>
      </c>
      <c r="HS79" s="2133">
        <f t="shared" si="573"/>
        <v>-6.3495066900947084E-3</v>
      </c>
      <c r="HT79" s="2133">
        <f t="shared" si="573"/>
        <v>-4.7844303284311218E-4</v>
      </c>
      <c r="HU79" s="2133">
        <f t="shared" si="573"/>
        <v>-1.1435329098527403E-2</v>
      </c>
      <c r="HV79" s="2133">
        <f t="shared" si="573"/>
        <v>-1.0398487917573362E-4</v>
      </c>
      <c r="HW79" s="2133">
        <f t="shared" si="573"/>
        <v>8.4241113664011991E-3</v>
      </c>
      <c r="HZ79" s="210"/>
      <c r="IB79" s="398"/>
      <c r="IC79" s="398"/>
      <c r="ID79" s="398"/>
      <c r="IE79" s="398"/>
      <c r="IF79" s="398"/>
      <c r="IG79" s="398"/>
      <c r="JG79" s="402"/>
      <c r="JH79" s="402"/>
      <c r="JI79" s="402"/>
      <c r="JN79" s="402"/>
      <c r="JO79" s="402"/>
      <c r="JP79" s="402"/>
    </row>
    <row r="80" spans="2:276" s="396" customFormat="1" outlineLevel="1" x14ac:dyDescent="0.2">
      <c r="AV80" s="1480" t="str">
        <f t="shared" ref="AV80:AV81" si="575">AV76</f>
        <v>Split: Minoritet</v>
      </c>
      <c r="AW80" s="1480"/>
      <c r="AX80" s="1480"/>
      <c r="AY80" s="1480"/>
      <c r="AZ80" s="1480"/>
      <c r="BA80" s="1480"/>
      <c r="BB80" s="1480">
        <v>0.05</v>
      </c>
      <c r="BC80" s="1480"/>
      <c r="BQ80" s="398"/>
      <c r="CY80" s="398"/>
      <c r="CZ80" s="398"/>
      <c r="DA80" s="398"/>
      <c r="DB80" s="398"/>
      <c r="DC80" s="398"/>
      <c r="DD80" s="398"/>
      <c r="DE80" s="398"/>
      <c r="DF80" s="398"/>
      <c r="DG80" s="398"/>
      <c r="DH80" s="398"/>
      <c r="DI80" s="398"/>
      <c r="DJ80" s="398"/>
      <c r="DL80" s="398"/>
      <c r="DM80" s="398"/>
      <c r="DN80" s="398"/>
      <c r="DO80" s="398"/>
      <c r="DP80" s="398"/>
      <c r="DQ80" s="398"/>
      <c r="DR80" s="398"/>
      <c r="DS80" s="398"/>
      <c r="DT80" s="398"/>
      <c r="DU80" s="398"/>
      <c r="DV80" s="398"/>
      <c r="DW80" s="398"/>
      <c r="DX80" s="398"/>
      <c r="EW80" s="259"/>
      <c r="GU80" s="1272" t="s">
        <v>418</v>
      </c>
      <c r="GV80" s="242"/>
      <c r="HJ80" s="1272"/>
      <c r="HK80" s="1272"/>
      <c r="HL80" s="1272"/>
      <c r="HM80" s="1272"/>
      <c r="HN80" s="1272"/>
      <c r="HO80" s="1272"/>
      <c r="HP80" s="1999"/>
      <c r="HQ80" s="2150" t="s">
        <v>181</v>
      </c>
      <c r="HR80" s="2133">
        <f t="shared" si="574"/>
        <v>-8.0078388971589476E-3</v>
      </c>
      <c r="HS80" s="2133">
        <f t="shared" si="573"/>
        <v>2.9382348966264793E-3</v>
      </c>
      <c r="HT80" s="2133">
        <f t="shared" si="573"/>
        <v>-4.5546695499485423E-3</v>
      </c>
      <c r="HU80" s="2133">
        <f t="shared" si="573"/>
        <v>3.526152182733E-3</v>
      </c>
      <c r="HV80" s="2133">
        <f t="shared" si="573"/>
        <v>0.56813995121119554</v>
      </c>
      <c r="HW80" s="2133">
        <f t="shared" si="573"/>
        <v>6.2251655628937641E-3</v>
      </c>
      <c r="HZ80" s="210"/>
      <c r="IB80" s="398"/>
      <c r="IC80" s="398"/>
      <c r="ID80" s="398"/>
      <c r="IE80" s="398"/>
      <c r="IF80" s="398"/>
      <c r="IG80" s="398"/>
      <c r="JG80" s="402"/>
      <c r="JH80" s="402"/>
      <c r="JI80" s="402"/>
      <c r="JN80" s="402"/>
      <c r="JO80" s="402"/>
      <c r="JP80" s="402"/>
    </row>
    <row r="81" spans="4:276" s="396" customFormat="1" ht="14.25" customHeight="1" outlineLevel="1" x14ac:dyDescent="0.15">
      <c r="AV81" s="1481" t="str">
        <f t="shared" si="575"/>
        <v>Total</v>
      </c>
      <c r="AW81" s="1481"/>
      <c r="AX81" s="1481"/>
      <c r="AY81" s="1481"/>
      <c r="AZ81" s="1481"/>
      <c r="BA81" s="1481"/>
      <c r="BB81" s="1481">
        <f>SUM(BB79:BB80)</f>
        <v>1</v>
      </c>
      <c r="BC81" s="1481"/>
      <c r="BQ81" s="398"/>
      <c r="CY81" s="398"/>
      <c r="CZ81" s="398"/>
      <c r="DA81" s="398"/>
      <c r="DB81" s="398"/>
      <c r="DC81" s="398"/>
      <c r="DD81" s="398"/>
      <c r="DE81" s="398"/>
      <c r="DF81" s="398"/>
      <c r="DG81" s="398"/>
      <c r="DH81" s="398"/>
      <c r="DI81" s="398"/>
      <c r="DJ81" s="398"/>
      <c r="DL81" s="398"/>
      <c r="DM81" s="398"/>
      <c r="DN81" s="398"/>
      <c r="DO81" s="398"/>
      <c r="DP81" s="398"/>
      <c r="DQ81" s="398"/>
      <c r="DR81" s="398"/>
      <c r="DS81" s="398"/>
      <c r="DT81" s="398"/>
      <c r="DU81" s="398"/>
      <c r="DV81" s="398"/>
      <c r="DW81" s="398"/>
      <c r="DX81" s="398"/>
      <c r="DY81" s="398"/>
      <c r="DZ81" s="398"/>
      <c r="EA81" s="398"/>
      <c r="EB81" s="398"/>
      <c r="EC81" s="398"/>
      <c r="ED81" s="398"/>
      <c r="EE81" s="398"/>
      <c r="EF81" s="398"/>
      <c r="EW81" s="259"/>
      <c r="GU81" s="1272" t="s">
        <v>419</v>
      </c>
      <c r="GW81" s="398"/>
      <c r="GX81" s="398"/>
      <c r="GY81" s="398"/>
      <c r="GZ81" s="398"/>
      <c r="HA81" s="398"/>
      <c r="HB81" s="398"/>
      <c r="HC81" s="398"/>
      <c r="HD81" s="398"/>
      <c r="HE81" s="398"/>
      <c r="HF81" s="398"/>
      <c r="HG81" s="398"/>
      <c r="HH81" s="398"/>
      <c r="HJ81" s="1272"/>
      <c r="HK81" s="1272"/>
      <c r="HL81" s="1272"/>
      <c r="HM81" s="1272"/>
      <c r="HN81" s="1272"/>
      <c r="HO81" s="1272"/>
      <c r="HP81" s="1999"/>
      <c r="HZ81" s="210"/>
      <c r="IB81" s="398"/>
      <c r="IC81" s="398"/>
      <c r="ID81" s="398"/>
      <c r="IE81" s="398"/>
      <c r="IF81" s="398"/>
      <c r="IG81" s="398"/>
      <c r="JG81" s="402"/>
      <c r="JH81" s="402"/>
      <c r="JI81" s="402"/>
      <c r="JN81" s="402"/>
      <c r="JO81" s="402"/>
      <c r="JP81" s="402"/>
    </row>
    <row r="82" spans="4:276" s="396" customFormat="1" ht="18" customHeight="1" outlineLevel="1" x14ac:dyDescent="0.2">
      <c r="BQ82" s="398"/>
      <c r="CY82" s="398"/>
      <c r="CZ82" s="398"/>
      <c r="DA82" s="398"/>
      <c r="DB82" s="398"/>
      <c r="DC82" s="398"/>
      <c r="DD82" s="398"/>
      <c r="DE82" s="398"/>
      <c r="DF82" s="398"/>
      <c r="DG82" s="398"/>
      <c r="DH82" s="398"/>
      <c r="DI82" s="398"/>
      <c r="DJ82" s="398"/>
      <c r="DL82" s="398"/>
      <c r="DM82" s="398"/>
      <c r="DN82" s="398"/>
      <c r="DO82" s="398"/>
      <c r="DP82" s="398"/>
      <c r="DQ82" s="398"/>
      <c r="DR82" s="398"/>
      <c r="DS82" s="398"/>
      <c r="DT82" s="398"/>
      <c r="DU82" s="398"/>
      <c r="DV82" s="398"/>
      <c r="DW82" s="398"/>
      <c r="DX82" s="398"/>
      <c r="DY82" s="418" t="str">
        <f>DY30</f>
        <v>Inkomstskatt på kvarvarande verksamhet</v>
      </c>
      <c r="EA82" s="238">
        <f t="shared" ref="EA82:EF82" si="576">IFERROR(EA30/EA29,"N/A")</f>
        <v>-0.20599999999999999</v>
      </c>
      <c r="EB82" s="238">
        <f t="shared" si="576"/>
        <v>-0.20600000000000002</v>
      </c>
      <c r="EC82" s="238">
        <f t="shared" si="576"/>
        <v>-0.20599999999999999</v>
      </c>
      <c r="ED82" s="238">
        <f t="shared" si="576"/>
        <v>-0.20599999999999996</v>
      </c>
      <c r="EE82" s="238">
        <f t="shared" si="576"/>
        <v>-0.20599999999999999</v>
      </c>
      <c r="EF82" s="238">
        <f t="shared" si="576"/>
        <v>-0.20599999999999999</v>
      </c>
      <c r="EW82" s="259"/>
      <c r="GU82" s="1272" t="s">
        <v>420</v>
      </c>
      <c r="HJ82" s="1272"/>
      <c r="HK82" s="1272"/>
      <c r="HL82" s="1272"/>
      <c r="HM82" s="1272"/>
      <c r="HN82" s="1272"/>
      <c r="HO82" s="1272"/>
      <c r="HP82" s="1999"/>
      <c r="HZ82" s="210"/>
      <c r="IB82" s="398"/>
      <c r="IC82" s="398"/>
      <c r="ID82" s="398"/>
      <c r="IE82" s="398"/>
      <c r="IF82" s="398"/>
      <c r="IG82" s="398"/>
      <c r="JG82" s="402"/>
      <c r="JH82" s="402"/>
      <c r="JI82" s="402"/>
      <c r="JN82" s="402"/>
      <c r="JO82" s="402"/>
      <c r="JP82" s="402"/>
    </row>
    <row r="83" spans="4:276" s="396" customFormat="1" ht="9.9499999999999993" customHeight="1" outlineLevel="1" x14ac:dyDescent="0.2">
      <c r="AV83" s="216" t="s">
        <v>181</v>
      </c>
      <c r="AW83" s="216"/>
      <c r="AX83" s="216"/>
      <c r="AY83" s="216"/>
      <c r="AZ83" s="216"/>
      <c r="BA83" s="216"/>
      <c r="BB83" s="1482">
        <f>BB37/SUM(Z35:AC35)-BB79</f>
        <v>1.5174129353233812E-2</v>
      </c>
      <c r="BC83" s="216"/>
      <c r="BQ83" s="398"/>
      <c r="CI83" s="399"/>
      <c r="CJ83" s="400"/>
      <c r="CK83" s="422" t="str">
        <f>CK$10</f>
        <v>QTD</v>
      </c>
      <c r="CL83" s="422" t="str">
        <f t="shared" ref="CL83:CV83" si="577">CL$10</f>
        <v>QTD</v>
      </c>
      <c r="CM83" s="422" t="str">
        <f t="shared" si="577"/>
        <v>QTD</v>
      </c>
      <c r="CN83" s="422" t="str">
        <f t="shared" si="577"/>
        <v>QTD</v>
      </c>
      <c r="CO83" s="422" t="str">
        <f t="shared" si="577"/>
        <v>QTD</v>
      </c>
      <c r="CP83" s="422" t="str">
        <f t="shared" si="577"/>
        <v>QTD</v>
      </c>
      <c r="CQ83" s="422" t="str">
        <f t="shared" si="577"/>
        <v>QTD</v>
      </c>
      <c r="CR83" s="422" t="str">
        <f t="shared" si="577"/>
        <v>QTD</v>
      </c>
      <c r="CS83" s="422" t="str">
        <f t="shared" si="577"/>
        <v>QTD</v>
      </c>
      <c r="CT83" s="422" t="str">
        <f t="shared" si="577"/>
        <v>QTD</v>
      </c>
      <c r="CU83" s="422" t="str">
        <f t="shared" si="577"/>
        <v>QTD</v>
      </c>
      <c r="CV83" s="422" t="str">
        <f t="shared" si="577"/>
        <v>QTD</v>
      </c>
      <c r="CW83" s="435"/>
      <c r="CX83" s="435"/>
      <c r="CY83" s="398"/>
      <c r="CZ83" s="398"/>
      <c r="DA83" s="398"/>
      <c r="DB83" s="398"/>
      <c r="DC83" s="398"/>
      <c r="DD83" s="398"/>
      <c r="DE83" s="398"/>
      <c r="DF83" s="398"/>
      <c r="DG83" s="398"/>
      <c r="DH83" s="398"/>
      <c r="DI83" s="398"/>
      <c r="DJ83" s="398"/>
      <c r="DL83" s="398"/>
      <c r="DM83" s="398"/>
      <c r="DN83" s="398"/>
      <c r="DO83" s="398"/>
      <c r="DP83" s="398"/>
      <c r="DQ83" s="398"/>
      <c r="DR83" s="398"/>
      <c r="DS83" s="398"/>
      <c r="DT83" s="398"/>
      <c r="DU83" s="398"/>
      <c r="DV83" s="398"/>
      <c r="DW83" s="398"/>
      <c r="DX83" s="398"/>
      <c r="DY83" s="418" t="str">
        <f>DY33</f>
        <v>Skatt på avvecklad verksamhet</v>
      </c>
      <c r="EA83" s="238">
        <f t="shared" ref="EA83:EF83" si="578">IFERROR(EA33/EA32,"N/A")</f>
        <v>-0.19</v>
      </c>
      <c r="EB83" s="238">
        <f t="shared" si="578"/>
        <v>-0.19</v>
      </c>
      <c r="EC83" s="238">
        <f t="shared" si="578"/>
        <v>-0.19</v>
      </c>
      <c r="ED83" s="238">
        <f t="shared" si="578"/>
        <v>-0.19</v>
      </c>
      <c r="EE83" s="238">
        <f t="shared" si="578"/>
        <v>-0.19</v>
      </c>
      <c r="EF83" s="238">
        <f t="shared" si="578"/>
        <v>-0.19</v>
      </c>
      <c r="HP83" s="2005"/>
      <c r="HZ83" s="210"/>
      <c r="IB83" s="398"/>
      <c r="IC83" s="398"/>
      <c r="ID83" s="398"/>
      <c r="IE83" s="398"/>
      <c r="IF83" s="398"/>
      <c r="IG83" s="398"/>
      <c r="JG83" s="402"/>
      <c r="JH83" s="402"/>
      <c r="JI83" s="402"/>
      <c r="JN83" s="402"/>
      <c r="JO83" s="402"/>
      <c r="JP83" s="402"/>
    </row>
    <row r="84" spans="4:276" s="396" customFormat="1" ht="9.9499999999999993" customHeight="1" outlineLevel="1" x14ac:dyDescent="0.25">
      <c r="T84" s="398"/>
      <c r="U84" s="398"/>
      <c r="V84" s="398"/>
      <c r="W84" s="398"/>
      <c r="X84" s="398"/>
      <c r="Y84" s="398"/>
      <c r="Z84" s="398"/>
      <c r="AA84" s="398"/>
      <c r="AB84" s="398"/>
      <c r="AC84" s="398"/>
      <c r="AD84" s="398"/>
      <c r="AE84" s="398"/>
      <c r="AV84" s="216" t="s">
        <v>181</v>
      </c>
      <c r="AW84" s="216"/>
      <c r="AX84" s="216"/>
      <c r="AY84" s="216"/>
      <c r="AZ84" s="216"/>
      <c r="BA84" s="216"/>
      <c r="BB84" s="1482">
        <f>BB38/SUM(Z35:AC35)-BB80</f>
        <v>-1.5174129353233909E-2</v>
      </c>
      <c r="BC84" s="216"/>
      <c r="BQ84" s="398"/>
      <c r="CI84" s="403"/>
      <c r="CJ84" s="404"/>
      <c r="CK84" s="1124">
        <f>CK$11</f>
        <v>2403</v>
      </c>
      <c r="CL84" s="1124">
        <f t="shared" ref="CL84:CV84" si="579">CL$11</f>
        <v>2406</v>
      </c>
      <c r="CM84" s="1124">
        <f t="shared" si="579"/>
        <v>2409</v>
      </c>
      <c r="CN84" s="1124">
        <f t="shared" si="579"/>
        <v>2412</v>
      </c>
      <c r="CO84" s="1124">
        <f t="shared" si="579"/>
        <v>2503</v>
      </c>
      <c r="CP84" s="1124">
        <f t="shared" si="579"/>
        <v>2506</v>
      </c>
      <c r="CQ84" s="1124">
        <f t="shared" si="579"/>
        <v>2509</v>
      </c>
      <c r="CR84" s="1124">
        <f t="shared" si="579"/>
        <v>2512</v>
      </c>
      <c r="CS84" s="1124">
        <f t="shared" si="579"/>
        <v>2603</v>
      </c>
      <c r="CT84" s="1124">
        <f t="shared" si="579"/>
        <v>2606</v>
      </c>
      <c r="CU84" s="1124">
        <f t="shared" si="579"/>
        <v>2609</v>
      </c>
      <c r="CV84" s="1124">
        <f t="shared" si="579"/>
        <v>2612</v>
      </c>
      <c r="CW84" s="435"/>
      <c r="CX84" s="435"/>
      <c r="CY84" s="398"/>
      <c r="CZ84" s="398"/>
      <c r="DA84" s="398"/>
      <c r="DB84" s="398"/>
      <c r="DC84" s="398"/>
      <c r="DD84" s="398"/>
      <c r="DE84" s="398"/>
      <c r="DF84" s="398"/>
      <c r="DG84" s="398"/>
      <c r="DH84" s="398"/>
      <c r="DI84" s="398"/>
      <c r="DJ84" s="398"/>
      <c r="DL84" s="398"/>
      <c r="DM84" s="398"/>
      <c r="DN84" s="398"/>
      <c r="DO84" s="398"/>
      <c r="DP84" s="398"/>
      <c r="DQ84" s="398"/>
      <c r="DR84" s="398"/>
      <c r="DS84" s="398"/>
      <c r="DT84" s="398"/>
      <c r="DU84" s="398"/>
      <c r="DV84" s="398"/>
      <c r="DW84" s="398"/>
      <c r="DX84" s="398"/>
      <c r="GU84" s="429" t="s">
        <v>421</v>
      </c>
      <c r="HP84" s="2006"/>
      <c r="HZ84" s="210"/>
      <c r="IB84" s="398"/>
      <c r="IC84" s="398"/>
      <c r="ID84" s="398"/>
      <c r="IE84" s="398"/>
      <c r="IF84" s="398"/>
      <c r="IG84" s="398"/>
      <c r="JG84" s="402"/>
      <c r="JH84" s="402"/>
      <c r="JI84" s="402"/>
      <c r="JN84" s="402"/>
      <c r="JO84" s="402"/>
      <c r="JP84" s="402"/>
    </row>
    <row r="85" spans="4:276" s="396" customFormat="1" ht="9.9499999999999993" customHeight="1" outlineLevel="1" x14ac:dyDescent="0.15">
      <c r="D85" s="1124"/>
      <c r="E85" s="1124"/>
      <c r="G85" s="1124">
        <f t="shared" ref="G85:R85" si="580">G$11</f>
        <v>2403</v>
      </c>
      <c r="H85" s="1124">
        <f t="shared" si="580"/>
        <v>2406</v>
      </c>
      <c r="I85" s="1124">
        <f t="shared" si="580"/>
        <v>2409</v>
      </c>
      <c r="J85" s="1124">
        <f t="shared" si="580"/>
        <v>2412</v>
      </c>
      <c r="K85" s="1124">
        <f t="shared" si="580"/>
        <v>2503</v>
      </c>
      <c r="L85" s="1124">
        <f t="shared" si="580"/>
        <v>2506</v>
      </c>
      <c r="M85" s="1124">
        <f t="shared" si="580"/>
        <v>2509</v>
      </c>
      <c r="N85" s="1124">
        <f t="shared" si="580"/>
        <v>2512</v>
      </c>
      <c r="O85" s="1124">
        <f t="shared" si="580"/>
        <v>2603</v>
      </c>
      <c r="P85" s="1124">
        <f t="shared" si="580"/>
        <v>2606</v>
      </c>
      <c r="Q85" s="1124">
        <f t="shared" si="580"/>
        <v>2609</v>
      </c>
      <c r="R85" s="1124">
        <f t="shared" si="580"/>
        <v>2612</v>
      </c>
      <c r="T85" s="1124">
        <f t="shared" ref="T85:AE85" si="581">T$11</f>
        <v>2403</v>
      </c>
      <c r="U85" s="1124">
        <f t="shared" si="581"/>
        <v>2406</v>
      </c>
      <c r="V85" s="1124">
        <f t="shared" si="581"/>
        <v>2409</v>
      </c>
      <c r="W85" s="1124">
        <f t="shared" si="581"/>
        <v>2412</v>
      </c>
      <c r="X85" s="1124">
        <f t="shared" si="581"/>
        <v>2503</v>
      </c>
      <c r="Y85" s="1124">
        <f t="shared" si="581"/>
        <v>2506</v>
      </c>
      <c r="Z85" s="1124">
        <f t="shared" si="581"/>
        <v>2509</v>
      </c>
      <c r="AA85" s="1124">
        <f t="shared" si="581"/>
        <v>2512</v>
      </c>
      <c r="AB85" s="1124">
        <f t="shared" si="581"/>
        <v>2603</v>
      </c>
      <c r="AC85" s="1124">
        <f t="shared" si="581"/>
        <v>2606</v>
      </c>
      <c r="AD85" s="1124">
        <f t="shared" si="581"/>
        <v>2609</v>
      </c>
      <c r="AE85" s="1124">
        <f t="shared" si="581"/>
        <v>2612</v>
      </c>
      <c r="BQ85" s="398"/>
      <c r="CI85" s="408" t="s">
        <v>406</v>
      </c>
      <c r="CJ85" s="408"/>
      <c r="CK85" s="1119">
        <v>-0.20599999999999999</v>
      </c>
      <c r="CL85" s="1119">
        <v>-0.20599999999999999</v>
      </c>
      <c r="CM85" s="1119">
        <v>-0.20599999999999999</v>
      </c>
      <c r="CN85" s="1119">
        <v>-0.20599999999999999</v>
      </c>
      <c r="CO85" s="1119">
        <v>-0.20599999999999999</v>
      </c>
      <c r="CP85" s="1119">
        <v>-0.20599999999999999</v>
      </c>
      <c r="CQ85" s="1119">
        <v>-0.20599999999999999</v>
      </c>
      <c r="CR85" s="1119">
        <v>-0.20599999999999999</v>
      </c>
      <c r="CS85" s="1119">
        <v>-0.20599999999999999</v>
      </c>
      <c r="CT85" s="1119">
        <v>-0.20599999999999999</v>
      </c>
      <c r="CU85" s="1119">
        <v>-0.20599999999999999</v>
      </c>
      <c r="CV85" s="1119">
        <v>-0.20599999999999999</v>
      </c>
      <c r="CW85" s="1013"/>
      <c r="CX85" s="1013"/>
      <c r="CY85" s="398"/>
      <c r="CZ85" s="398"/>
      <c r="DA85" s="398"/>
      <c r="DB85" s="398"/>
      <c r="DC85" s="398"/>
      <c r="DD85" s="398"/>
      <c r="DE85" s="398"/>
      <c r="DF85" s="398"/>
      <c r="DG85" s="398"/>
      <c r="DH85" s="398"/>
      <c r="DI85" s="398"/>
      <c r="DJ85" s="398"/>
      <c r="DL85" s="398"/>
      <c r="DM85" s="398"/>
      <c r="DN85" s="398"/>
      <c r="DO85" s="398"/>
      <c r="DP85" s="398"/>
      <c r="DQ85" s="398"/>
      <c r="DR85" s="398"/>
      <c r="DS85" s="398"/>
      <c r="DT85" s="398"/>
      <c r="DU85" s="398"/>
      <c r="DV85" s="398"/>
      <c r="DW85" s="398"/>
      <c r="DX85" s="398"/>
      <c r="HP85" s="2005"/>
      <c r="HZ85" s="210"/>
      <c r="IB85" s="398"/>
      <c r="IC85" s="398"/>
      <c r="ID85" s="398"/>
      <c r="IE85" s="398"/>
      <c r="IF85" s="398"/>
      <c r="IG85" s="398"/>
      <c r="JG85" s="402"/>
      <c r="JH85" s="402"/>
      <c r="JI85" s="402"/>
      <c r="JN85" s="402"/>
      <c r="JO85" s="402"/>
      <c r="JP85" s="402"/>
    </row>
    <row r="86" spans="4:276" s="396" customFormat="1" ht="9.9499999999999993" customHeight="1" outlineLevel="1" x14ac:dyDescent="0.2">
      <c r="D86" s="281" t="s">
        <v>682</v>
      </c>
      <c r="E86" s="397"/>
      <c r="G86" s="1091">
        <f>[2]rapkvart!S262</f>
        <v>22.9</v>
      </c>
      <c r="H86" s="1091">
        <f>[2]rapkvart!T262</f>
        <v>46.4</v>
      </c>
      <c r="I86" s="1091">
        <f>[2]rapkvart!U262</f>
        <v>69.399999999999991</v>
      </c>
      <c r="J86" s="1091">
        <f>[2]rapkvart!V262</f>
        <v>91.399999999999991</v>
      </c>
      <c r="K86" s="1091">
        <f>[2]rapkvart!O262</f>
        <v>21.9</v>
      </c>
      <c r="L86" s="1091">
        <f>[2]rapkvart!P262</f>
        <v>44.699999999999996</v>
      </c>
      <c r="M86" s="1091">
        <f>[2]rapkvart!Q262</f>
        <v>66.900000000000006</v>
      </c>
      <c r="N86" s="1091">
        <f>[2]rapkvart!R262</f>
        <v>88.7</v>
      </c>
      <c r="O86" s="1091">
        <f>[2]rapkvart!K262</f>
        <v>22.000000000000004</v>
      </c>
      <c r="P86" s="1091">
        <f>[2]rapkvart!L262</f>
        <v>43.7</v>
      </c>
      <c r="Q86" s="1091"/>
      <c r="R86" s="1091"/>
      <c r="S86" s="1136"/>
      <c r="T86" s="1091">
        <f>[2]rapkvart!AE262</f>
        <v>22.9</v>
      </c>
      <c r="U86" s="1091">
        <f>[2]rapkvart!AF262</f>
        <v>23.5</v>
      </c>
      <c r="V86" s="1091">
        <f>[2]rapkvart!AG262</f>
        <v>22.999999999999993</v>
      </c>
      <c r="W86" s="1091">
        <f>[2]rapkvart!AH262</f>
        <v>22</v>
      </c>
      <c r="X86" s="1091">
        <f>[2]rapkvart!AA262</f>
        <v>21.9</v>
      </c>
      <c r="Y86" s="1091">
        <f>[2]rapkvart!AB262</f>
        <v>22.8</v>
      </c>
      <c r="Z86" s="1091">
        <f>[2]rapkvart!AC262</f>
        <v>22.200000000000003</v>
      </c>
      <c r="AA86" s="1091">
        <f>[2]rapkvart!AD262</f>
        <v>21.799999999999994</v>
      </c>
      <c r="AB86" s="1091">
        <f>[2]rapkvart!W262</f>
        <v>22.000000000000004</v>
      </c>
      <c r="AC86" s="1091">
        <f>[2]rapkvart!X262</f>
        <v>21.699999999999996</v>
      </c>
      <c r="AD86" s="1091">
        <f>[2]rapkvart!Y262</f>
        <v>23.200000000000003</v>
      </c>
      <c r="AE86" s="1091">
        <f>[2]rapkvart!Z262</f>
        <v>21.799999999999994</v>
      </c>
      <c r="AV86" s="216" t="s">
        <v>181</v>
      </c>
      <c r="AW86" s="216"/>
      <c r="AX86" s="216"/>
      <c r="AY86" s="216"/>
      <c r="AZ86" s="216"/>
      <c r="BA86" s="216"/>
      <c r="BB86" s="1482">
        <f>BB55/SUM(Z53:AC53)-BB79</f>
        <v>1.4163822525597336E-2</v>
      </c>
      <c r="BC86" s="216"/>
      <c r="BQ86" s="398"/>
      <c r="CH86" s="409"/>
      <c r="CI86" s="411" t="s">
        <v>408</v>
      </c>
      <c r="CJ86" s="411"/>
      <c r="CK86" s="1120">
        <v>-0.19</v>
      </c>
      <c r="CL86" s="1120">
        <v>-0.19</v>
      </c>
      <c r="CM86" s="1120">
        <v>-0.19</v>
      </c>
      <c r="CN86" s="1120">
        <v>-0.19</v>
      </c>
      <c r="CO86" s="1120">
        <v>-0.19</v>
      </c>
      <c r="CP86" s="1120">
        <v>-0.19</v>
      </c>
      <c r="CQ86" s="1120">
        <v>-0.19</v>
      </c>
      <c r="CR86" s="1120">
        <v>-0.19</v>
      </c>
      <c r="CS86" s="1120">
        <v>-0.19</v>
      </c>
      <c r="CT86" s="1120">
        <v>-0.19</v>
      </c>
      <c r="CU86" s="1120">
        <v>-0.19</v>
      </c>
      <c r="CV86" s="1120">
        <v>-0.19</v>
      </c>
      <c r="CW86" s="1014"/>
      <c r="CX86" s="1014"/>
      <c r="CY86" s="398"/>
      <c r="CZ86" s="398"/>
      <c r="DA86" s="398"/>
      <c r="DB86" s="398"/>
      <c r="DC86" s="398"/>
      <c r="DD86" s="398"/>
      <c r="DE86" s="398"/>
      <c r="DF86" s="398"/>
      <c r="DG86" s="398"/>
      <c r="DH86" s="398"/>
      <c r="DI86" s="398"/>
      <c r="DJ86" s="398"/>
      <c r="DL86" s="398"/>
      <c r="DM86" s="398"/>
      <c r="DN86" s="398"/>
      <c r="DO86" s="398"/>
      <c r="DP86" s="398"/>
      <c r="DQ86" s="398"/>
      <c r="DR86" s="398"/>
      <c r="DS86" s="398"/>
      <c r="DT86" s="398"/>
      <c r="DU86" s="398"/>
      <c r="DV86" s="398"/>
      <c r="DW86" s="398"/>
      <c r="DX86" s="398"/>
      <c r="DY86" s="421"/>
      <c r="GU86" s="256"/>
      <c r="GW86" s="214">
        <f t="shared" ref="GW86:HH86" si="582">GW$28</f>
        <v>2403</v>
      </c>
      <c r="GX86" s="214">
        <f t="shared" si="582"/>
        <v>2406</v>
      </c>
      <c r="GY86" s="214">
        <f t="shared" si="582"/>
        <v>2409</v>
      </c>
      <c r="GZ86" s="214">
        <f t="shared" si="582"/>
        <v>2412</v>
      </c>
      <c r="HA86" s="214">
        <f t="shared" si="582"/>
        <v>2503</v>
      </c>
      <c r="HB86" s="214">
        <f t="shared" si="582"/>
        <v>2506</v>
      </c>
      <c r="HC86" s="214">
        <f t="shared" si="582"/>
        <v>2509</v>
      </c>
      <c r="HD86" s="214">
        <f t="shared" si="582"/>
        <v>2512</v>
      </c>
      <c r="HE86" s="214">
        <f t="shared" si="582"/>
        <v>2603</v>
      </c>
      <c r="HF86" s="214">
        <f t="shared" si="582"/>
        <v>2606</v>
      </c>
      <c r="HG86" s="214">
        <f t="shared" si="582"/>
        <v>2609</v>
      </c>
      <c r="HH86" s="214">
        <f t="shared" si="582"/>
        <v>2612</v>
      </c>
      <c r="HJ86" s="214" t="str">
        <f t="shared" ref="HJ86:HO86" si="583">HJ$10</f>
        <v>Kvartal 2</v>
      </c>
      <c r="HK86" s="214" t="str">
        <f t="shared" si="583"/>
        <v>Kvartal 2</v>
      </c>
      <c r="HL86" s="214" t="str">
        <f t="shared" si="583"/>
        <v>Kvartal 1-2</v>
      </c>
      <c r="HM86" s="214" t="str">
        <f t="shared" si="583"/>
        <v>Kvartal 1-2</v>
      </c>
      <c r="HN86" s="214" t="str">
        <f t="shared" si="583"/>
        <v>Kvartal 2, R12</v>
      </c>
      <c r="HO86" s="214" t="str">
        <f t="shared" si="583"/>
        <v>Helår</v>
      </c>
      <c r="HP86" s="2007"/>
      <c r="HZ86" s="210"/>
      <c r="IB86" s="398"/>
      <c r="IC86" s="398"/>
      <c r="ID86" s="398"/>
      <c r="IE86" s="398"/>
      <c r="IF86" s="398"/>
      <c r="IG86" s="398"/>
      <c r="JG86" s="402"/>
      <c r="JH86" s="402"/>
      <c r="JI86" s="402"/>
      <c r="JN86" s="402"/>
      <c r="JO86" s="402"/>
      <c r="JP86" s="402"/>
    </row>
    <row r="87" spans="4:276" s="396" customFormat="1" ht="9.9499999999999993" customHeight="1" outlineLevel="1" x14ac:dyDescent="0.2">
      <c r="D87" s="1362" t="s">
        <v>407</v>
      </c>
      <c r="E87" s="1363"/>
      <c r="G87" s="1361">
        <f t="shared" ref="G87:R87" si="584">G19+G86</f>
        <v>66.500000000000043</v>
      </c>
      <c r="H87" s="1361">
        <f t="shared" si="584"/>
        <v>144.90000000000009</v>
      </c>
      <c r="I87" s="1361">
        <f t="shared" si="584"/>
        <v>201.59999999999991</v>
      </c>
      <c r="J87" s="1361">
        <f t="shared" si="584"/>
        <v>252.20000000000016</v>
      </c>
      <c r="K87" s="1361">
        <f t="shared" si="584"/>
        <v>79.400000000000063</v>
      </c>
      <c r="L87" s="1361">
        <f t="shared" si="584"/>
        <v>142.59999999999991</v>
      </c>
      <c r="M87" s="1361">
        <f t="shared" si="584"/>
        <v>193.9</v>
      </c>
      <c r="N87" s="1361">
        <f t="shared" si="584"/>
        <v>237.30000000000013</v>
      </c>
      <c r="O87" s="1361">
        <f t="shared" si="584"/>
        <v>72.399999999999991</v>
      </c>
      <c r="P87" s="1361">
        <f t="shared" si="584"/>
        <v>186.50000000000006</v>
      </c>
      <c r="Q87" s="1361">
        <f t="shared" si="584"/>
        <v>127</v>
      </c>
      <c r="R87" s="1361">
        <f t="shared" si="584"/>
        <v>148.60000000000011</v>
      </c>
      <c r="S87" s="1136"/>
      <c r="T87" s="1361">
        <f t="shared" ref="T87:AE87" si="585">T19+T86</f>
        <v>66.500000000000043</v>
      </c>
      <c r="U87" s="1361">
        <f t="shared" si="585"/>
        <v>78.400000000000048</v>
      </c>
      <c r="V87" s="1361">
        <f t="shared" si="585"/>
        <v>56.699999999999811</v>
      </c>
      <c r="W87" s="1361">
        <f t="shared" si="585"/>
        <v>50.600000000000229</v>
      </c>
      <c r="X87" s="1361">
        <f t="shared" si="585"/>
        <v>79.400000000000091</v>
      </c>
      <c r="Y87" s="1361">
        <f t="shared" si="585"/>
        <v>63.199999999999847</v>
      </c>
      <c r="Z87" s="1361">
        <f t="shared" si="585"/>
        <v>51.300000000000097</v>
      </c>
      <c r="AA87" s="1361">
        <f t="shared" si="585"/>
        <v>43.400000000000091</v>
      </c>
      <c r="AB87" s="1361">
        <f t="shared" si="585"/>
        <v>72.399999999999991</v>
      </c>
      <c r="AC87" s="1361">
        <f t="shared" si="585"/>
        <v>114.10000000000005</v>
      </c>
      <c r="AD87" s="1361">
        <f t="shared" si="585"/>
        <v>7.3999999999999577</v>
      </c>
      <c r="AE87" s="1361">
        <f t="shared" si="585"/>
        <v>43.400000000000091</v>
      </c>
      <c r="AV87" s="216" t="s">
        <v>181</v>
      </c>
      <c r="AW87" s="216"/>
      <c r="AX87" s="216"/>
      <c r="AY87" s="216"/>
      <c r="AZ87" s="216"/>
      <c r="BA87" s="216"/>
      <c r="BB87" s="1482">
        <f>BB56/SUM(Z53:AC53)-BB80</f>
        <v>-1.416382252559735E-2</v>
      </c>
      <c r="BC87" s="216"/>
      <c r="BQ87" s="398"/>
      <c r="CK87" s="398"/>
      <c r="CL87" s="398"/>
      <c r="CM87" s="398"/>
      <c r="CN87" s="398"/>
      <c r="CO87" s="398"/>
      <c r="CP87" s="398"/>
      <c r="CQ87" s="398"/>
      <c r="CR87" s="398"/>
      <c r="CS87" s="398"/>
      <c r="CT87" s="398"/>
      <c r="CU87" s="398"/>
      <c r="CV87" s="398"/>
      <c r="CW87" s="398"/>
      <c r="CX87" s="398"/>
      <c r="CY87" s="398"/>
      <c r="CZ87" s="398"/>
      <c r="DA87" s="398"/>
      <c r="DB87" s="398"/>
      <c r="DC87" s="398"/>
      <c r="DD87" s="398"/>
      <c r="DE87" s="398"/>
      <c r="DF87" s="398"/>
      <c r="DG87" s="398"/>
      <c r="DH87" s="398"/>
      <c r="DI87" s="398"/>
      <c r="DJ87" s="398"/>
      <c r="DL87" s="398"/>
      <c r="DM87" s="398"/>
      <c r="DN87" s="398"/>
      <c r="DO87" s="398"/>
      <c r="DP87" s="398"/>
      <c r="DQ87" s="398"/>
      <c r="DR87" s="398"/>
      <c r="DS87" s="398"/>
      <c r="DT87" s="398"/>
      <c r="DU87" s="398"/>
      <c r="DV87" s="398"/>
      <c r="DW87" s="398"/>
      <c r="DX87" s="398"/>
      <c r="DY87" s="400"/>
      <c r="DZ87" s="422"/>
      <c r="EA87" s="422" t="str">
        <f>EA$10</f>
        <v>Kvartal 2</v>
      </c>
      <c r="EB87" s="422" t="str">
        <f t="shared" ref="EB87:EF87" si="586">EB$10</f>
        <v>Kvartal 2</v>
      </c>
      <c r="EC87" s="422" t="str">
        <f t="shared" si="586"/>
        <v>Kvartal 1-2</v>
      </c>
      <c r="ED87" s="422" t="str">
        <f t="shared" si="586"/>
        <v>Kvartal 1-2</v>
      </c>
      <c r="EE87" s="422" t="str">
        <f t="shared" si="586"/>
        <v>Kvartal 2, R12</v>
      </c>
      <c r="EF87" s="422" t="str">
        <f t="shared" si="586"/>
        <v>Helår</v>
      </c>
      <c r="GU87" s="1581"/>
      <c r="GW87" s="1124" t="s">
        <v>160</v>
      </c>
      <c r="GX87" s="1124" t="s">
        <v>160</v>
      </c>
      <c r="GY87" s="1124" t="s">
        <v>160</v>
      </c>
      <c r="GZ87" s="1124" t="s">
        <v>160</v>
      </c>
      <c r="HA87" s="1124" t="s">
        <v>160</v>
      </c>
      <c r="HB87" s="1124" t="s">
        <v>160</v>
      </c>
      <c r="HC87" s="1124" t="s">
        <v>160</v>
      </c>
      <c r="HD87" s="1124" t="s">
        <v>160</v>
      </c>
      <c r="HE87" s="1124" t="s">
        <v>160</v>
      </c>
      <c r="HF87" s="1124" t="s">
        <v>160</v>
      </c>
      <c r="HG87" s="1124" t="s">
        <v>160</v>
      </c>
      <c r="HH87" s="1124" t="s">
        <v>160</v>
      </c>
      <c r="HJ87" s="1124">
        <f t="shared" ref="HJ87:HO87" si="587">HJ$11</f>
        <v>2026</v>
      </c>
      <c r="HK87" s="1124">
        <f t="shared" si="587"/>
        <v>2025</v>
      </c>
      <c r="HL87" s="1124">
        <f t="shared" si="587"/>
        <v>2026</v>
      </c>
      <c r="HM87" s="1124">
        <f t="shared" si="587"/>
        <v>2025</v>
      </c>
      <c r="HN87" s="1124">
        <f t="shared" si="587"/>
        <v>2026</v>
      </c>
      <c r="HO87" s="1124">
        <f t="shared" si="587"/>
        <v>2025</v>
      </c>
      <c r="HP87" s="2007"/>
      <c r="HZ87" s="210"/>
      <c r="IB87" s="398"/>
      <c r="IC87" s="398"/>
      <c r="ID87" s="398"/>
      <c r="IE87" s="398"/>
      <c r="IF87" s="398"/>
      <c r="IG87" s="398"/>
      <c r="JG87" s="402"/>
      <c r="JH87" s="402"/>
      <c r="JI87" s="402"/>
      <c r="JN87" s="402"/>
      <c r="JO87" s="402"/>
      <c r="JP87" s="402"/>
    </row>
    <row r="88" spans="4:276" s="396" customFormat="1" ht="9.9499999999999993" customHeight="1" outlineLevel="1" x14ac:dyDescent="0.15">
      <c r="D88" s="1137" t="s">
        <v>409</v>
      </c>
      <c r="E88" s="1138"/>
      <c r="G88" s="1139">
        <f>[2]rapkvart!S144</f>
        <v>66.500000000000043</v>
      </c>
      <c r="H88" s="1139">
        <f>[2]rapkvart!T144</f>
        <v>144.90000000000009</v>
      </c>
      <c r="I88" s="1139">
        <f>[2]rapkvart!U144</f>
        <v>201.59999999999991</v>
      </c>
      <c r="J88" s="1139">
        <f>[2]rapkvart!V144</f>
        <v>252.20000000000016</v>
      </c>
      <c r="K88" s="1139">
        <f>[2]rapkvart!O144</f>
        <v>79.400000000000063</v>
      </c>
      <c r="L88" s="1139">
        <f>[2]rapkvart!P144</f>
        <v>142.59999999999991</v>
      </c>
      <c r="M88" s="1139">
        <f>[2]rapkvart!Q144</f>
        <v>193.9</v>
      </c>
      <c r="N88" s="1139">
        <f>[2]rapkvart!R144</f>
        <v>237.30000000000013</v>
      </c>
      <c r="O88" s="1139">
        <f>[2]rapkvart!K144</f>
        <v>72.399999999999991</v>
      </c>
      <c r="P88" s="1139">
        <f>[2]rapkvart!L144</f>
        <v>186.50000000000006</v>
      </c>
      <c r="Q88" s="1139">
        <f>[2]rapkvart!M144</f>
        <v>193.9</v>
      </c>
      <c r="R88" s="1139">
        <f>[2]rapkvart!N144</f>
        <v>237.30000000000013</v>
      </c>
      <c r="S88" s="888"/>
      <c r="T88" s="1139">
        <f>[2]rapkvart!AE144</f>
        <v>66.500000000000043</v>
      </c>
      <c r="U88" s="1139">
        <f>[2]rapkvart!AF144</f>
        <v>78.400000000000048</v>
      </c>
      <c r="V88" s="1139">
        <f>[2]rapkvart!AG144</f>
        <v>56.699999999999811</v>
      </c>
      <c r="W88" s="1139">
        <f>[2]rapkvart!AH144</f>
        <v>50.600000000000229</v>
      </c>
      <c r="X88" s="1139">
        <f>[2]rapkvart!AA144</f>
        <v>79.400000000000063</v>
      </c>
      <c r="Y88" s="1139">
        <f>[2]rapkvart!AB144</f>
        <v>63.199999999999847</v>
      </c>
      <c r="Z88" s="1139">
        <f>[2]rapkvart!AC144</f>
        <v>51.300000000000097</v>
      </c>
      <c r="AA88" s="1139">
        <f>[2]rapkvart!AD144</f>
        <v>43.400000000000091</v>
      </c>
      <c r="AB88" s="1091">
        <f>[2]rapkvart!W144</f>
        <v>72.399999999999991</v>
      </c>
      <c r="AC88" s="1091">
        <f>[2]rapkvart!X144</f>
        <v>114.10000000000005</v>
      </c>
      <c r="AD88" s="1091">
        <f>[2]rapkvart!Y144</f>
        <v>7.3999999999999577</v>
      </c>
      <c r="AE88" s="1091">
        <f>[2]rapkvart!Z144</f>
        <v>43.400000000000091</v>
      </c>
      <c r="BQ88" s="398"/>
      <c r="CK88" s="398"/>
      <c r="CL88" s="398"/>
      <c r="CM88" s="398"/>
      <c r="CN88" s="398"/>
      <c r="CO88" s="398"/>
      <c r="CP88" s="398"/>
      <c r="CQ88" s="398"/>
      <c r="CR88" s="398"/>
      <c r="CS88" s="398"/>
      <c r="CT88" s="398"/>
      <c r="CU88" s="398"/>
      <c r="CV88" s="398"/>
      <c r="CW88" s="398"/>
      <c r="CX88" s="398"/>
      <c r="CY88" s="398"/>
      <c r="CZ88" s="398"/>
      <c r="DA88" s="398"/>
      <c r="DB88" s="398"/>
      <c r="DC88" s="398"/>
      <c r="DD88" s="398"/>
      <c r="DE88" s="398"/>
      <c r="DF88" s="398"/>
      <c r="DG88" s="398"/>
      <c r="DH88" s="398"/>
      <c r="DI88" s="398"/>
      <c r="DJ88" s="398"/>
      <c r="DL88" s="398"/>
      <c r="DM88" s="398"/>
      <c r="DN88" s="398"/>
      <c r="DO88" s="398"/>
      <c r="DP88" s="398"/>
      <c r="DQ88" s="398"/>
      <c r="DR88" s="398"/>
      <c r="DS88" s="398"/>
      <c r="DT88" s="398"/>
      <c r="DU88" s="398"/>
      <c r="DV88" s="398"/>
      <c r="DW88" s="398"/>
      <c r="DX88" s="398"/>
      <c r="DY88" s="422"/>
      <c r="DZ88" s="1124"/>
      <c r="EA88" s="1124">
        <f>EA$11</f>
        <v>2026</v>
      </c>
      <c r="EB88" s="1124">
        <f t="shared" ref="EB88:EF88" si="588">EB$11</f>
        <v>2025</v>
      </c>
      <c r="EC88" s="1124">
        <f t="shared" si="588"/>
        <v>2026</v>
      </c>
      <c r="ED88" s="1124">
        <f t="shared" si="588"/>
        <v>2025</v>
      </c>
      <c r="EE88" s="1124">
        <f t="shared" si="588"/>
        <v>2026</v>
      </c>
      <c r="EF88" s="1124">
        <f t="shared" si="588"/>
        <v>2025</v>
      </c>
      <c r="GU88" s="812" t="s">
        <v>749</v>
      </c>
      <c r="GW88" s="1517">
        <f t="shared" ref="GW88:HH88" si="589">G12</f>
        <v>581.20000000000005</v>
      </c>
      <c r="GX88" s="1517">
        <f t="shared" si="589"/>
        <v>1185.7</v>
      </c>
      <c r="GY88" s="1517">
        <f t="shared" si="589"/>
        <v>1692.3</v>
      </c>
      <c r="GZ88" s="1517">
        <f t="shared" si="589"/>
        <v>2271.8000000000002</v>
      </c>
      <c r="HA88" s="1517">
        <f t="shared" si="589"/>
        <v>639.6</v>
      </c>
      <c r="HB88" s="1517">
        <f t="shared" si="589"/>
        <v>1311.6</v>
      </c>
      <c r="HC88" s="1517">
        <f t="shared" si="589"/>
        <v>1809.4</v>
      </c>
      <c r="HD88" s="1517">
        <f t="shared" si="589"/>
        <v>2329.8000000000002</v>
      </c>
      <c r="HE88" s="1517">
        <f t="shared" si="589"/>
        <v>609.6</v>
      </c>
      <c r="HF88" s="1517">
        <f t="shared" si="589"/>
        <v>1294.3</v>
      </c>
      <c r="HG88" s="1517">
        <f t="shared" si="589"/>
        <v>1809.4</v>
      </c>
      <c r="HH88" s="1517">
        <f t="shared" si="589"/>
        <v>2329.8000000000002</v>
      </c>
      <c r="HP88" s="2005"/>
      <c r="HZ88" s="210"/>
      <c r="IB88" s="398"/>
      <c r="IC88" s="398"/>
      <c r="ID88" s="398"/>
      <c r="IE88" s="398"/>
      <c r="IF88" s="398"/>
      <c r="IG88" s="398"/>
      <c r="JG88" s="402"/>
      <c r="JH88" s="402"/>
      <c r="JI88" s="402"/>
      <c r="JN88" s="402"/>
      <c r="JO88" s="402"/>
      <c r="JP88" s="402"/>
    </row>
    <row r="89" spans="4:276" s="396" customFormat="1" ht="9.9499999999999993" customHeight="1" outlineLevel="1" x14ac:dyDescent="0.15">
      <c r="D89" s="1338" t="s">
        <v>181</v>
      </c>
      <c r="E89" s="1339"/>
      <c r="G89" s="983">
        <f>G87-G88</f>
        <v>0</v>
      </c>
      <c r="H89" s="983">
        <f t="shared" ref="H89:T89" si="590">H87-H88</f>
        <v>0</v>
      </c>
      <c r="I89" s="983">
        <f t="shared" si="590"/>
        <v>0</v>
      </c>
      <c r="J89" s="983">
        <f t="shared" si="590"/>
        <v>0</v>
      </c>
      <c r="K89" s="983">
        <f t="shared" si="590"/>
        <v>0</v>
      </c>
      <c r="L89" s="983">
        <f t="shared" si="590"/>
        <v>0</v>
      </c>
      <c r="M89" s="983">
        <f t="shared" si="590"/>
        <v>0</v>
      </c>
      <c r="N89" s="983">
        <f t="shared" si="590"/>
        <v>0</v>
      </c>
      <c r="O89" s="983">
        <f t="shared" si="590"/>
        <v>0</v>
      </c>
      <c r="P89" s="983">
        <f t="shared" si="590"/>
        <v>0</v>
      </c>
      <c r="Q89" s="983">
        <f t="shared" si="590"/>
        <v>-66.900000000000006</v>
      </c>
      <c r="R89" s="983">
        <f t="shared" si="590"/>
        <v>-88.700000000000017</v>
      </c>
      <c r="S89" s="888"/>
      <c r="T89" s="983">
        <f t="shared" si="590"/>
        <v>0</v>
      </c>
      <c r="U89" s="983">
        <f t="shared" ref="U89" si="591">U87-U88</f>
        <v>0</v>
      </c>
      <c r="V89" s="983">
        <f t="shared" ref="V89" si="592">V87-V88</f>
        <v>0</v>
      </c>
      <c r="W89" s="983">
        <f t="shared" ref="W89" si="593">W87-W88</f>
        <v>0</v>
      </c>
      <c r="X89" s="983">
        <f t="shared" ref="X89" si="594">X87-X88</f>
        <v>0</v>
      </c>
      <c r="Y89" s="983">
        <f t="shared" ref="Y89" si="595">Y87-Y88</f>
        <v>0</v>
      </c>
      <c r="Z89" s="983">
        <f t="shared" ref="Z89" si="596">Z87-Z88</f>
        <v>0</v>
      </c>
      <c r="AA89" s="983">
        <f t="shared" ref="AA89" si="597">AA87-AA88</f>
        <v>0</v>
      </c>
      <c r="AB89" s="983">
        <f t="shared" ref="AB89" si="598">AB87-AB88</f>
        <v>0</v>
      </c>
      <c r="AC89" s="983">
        <f t="shared" ref="AC89" si="599">AC87-AC88</f>
        <v>0</v>
      </c>
      <c r="AD89" s="983">
        <f t="shared" ref="AD89" si="600">AD87-AD88</f>
        <v>0</v>
      </c>
      <c r="AE89" s="983">
        <f t="shared" ref="AE89" si="601">AE87-AE88</f>
        <v>0</v>
      </c>
      <c r="BQ89" s="398"/>
      <c r="CH89" s="414"/>
      <c r="CI89" s="408" t="s">
        <v>410</v>
      </c>
      <c r="CJ89" s="426"/>
      <c r="CK89" s="1060">
        <f t="shared" ref="CK89:CV89" si="602">CK29*CK85</f>
        <v>-2.328315000000003</v>
      </c>
      <c r="CL89" s="1060">
        <f t="shared" si="602"/>
        <v>-6.1187150000000097</v>
      </c>
      <c r="CM89" s="1060">
        <f t="shared" si="602"/>
        <v>-0.10351499999996293</v>
      </c>
      <c r="CN89" s="1060">
        <f t="shared" si="602"/>
        <v>0.41148499999995269</v>
      </c>
      <c r="CO89" s="1060">
        <f t="shared" si="602"/>
        <v>-7.0606500000000123</v>
      </c>
      <c r="CP89" s="1060">
        <f t="shared" si="602"/>
        <v>-2.2402499999999583</v>
      </c>
      <c r="CQ89" s="1060">
        <f t="shared" si="602"/>
        <v>-0.50985000000001723</v>
      </c>
      <c r="CR89" s="1060">
        <f t="shared" si="602"/>
        <v>0.68494999999997785</v>
      </c>
      <c r="CS89" s="1060">
        <f t="shared" si="602"/>
        <v>-4.7172677479999949</v>
      </c>
      <c r="CT89" s="1060">
        <f t="shared" si="602"/>
        <v>-12.951808336000022</v>
      </c>
      <c r="CU89" s="1060">
        <f t="shared" si="602"/>
        <v>3.0900000000000092</v>
      </c>
      <c r="CV89" s="1060">
        <f t="shared" si="602"/>
        <v>-4.408400000000019</v>
      </c>
      <c r="CW89" s="415"/>
      <c r="CX89" s="398"/>
      <c r="CY89" s="398"/>
      <c r="CZ89" s="398"/>
      <c r="DA89" s="398"/>
      <c r="DB89" s="398"/>
      <c r="DC89" s="398"/>
      <c r="DD89" s="398"/>
      <c r="DE89" s="398"/>
      <c r="DF89" s="398"/>
      <c r="DG89" s="398"/>
      <c r="DH89" s="398"/>
      <c r="DI89" s="398"/>
      <c r="DJ89" s="398"/>
      <c r="DL89" s="398"/>
      <c r="DM89" s="398"/>
      <c r="DN89" s="398"/>
      <c r="DO89" s="398"/>
      <c r="DP89" s="398"/>
      <c r="DQ89" s="398"/>
      <c r="DR89" s="398"/>
      <c r="DS89" s="398"/>
      <c r="DT89" s="398"/>
      <c r="DU89" s="398"/>
      <c r="DV89" s="398"/>
      <c r="DW89" s="398"/>
      <c r="DX89" s="398"/>
      <c r="DY89" s="425" t="str">
        <f>CI100</f>
        <v>MBs aktieägare</v>
      </c>
      <c r="DZ89" s="1372"/>
      <c r="EA89" s="1372">
        <f>CT100</f>
        <v>0.97857142857142843</v>
      </c>
      <c r="EB89" s="1372">
        <f>CP100</f>
        <v>0.92265193370165677</v>
      </c>
      <c r="EC89" s="1372">
        <f t="shared" ref="EC89:EE90" si="603">EA89</f>
        <v>0.97857142857142843</v>
      </c>
      <c r="ED89" s="1372">
        <f t="shared" si="603"/>
        <v>0.92265193370165677</v>
      </c>
      <c r="EE89" s="1372">
        <f t="shared" si="603"/>
        <v>0.97857142857142843</v>
      </c>
      <c r="EF89" s="1372">
        <f>CR100</f>
        <v>1.7272727272727904</v>
      </c>
      <c r="GU89" s="860" t="s">
        <v>750</v>
      </c>
      <c r="GW89" s="219">
        <v>4</v>
      </c>
      <c r="GX89" s="219">
        <v>2</v>
      </c>
      <c r="GY89" s="219">
        <v>1.3333299999999999</v>
      </c>
      <c r="GZ89" s="219">
        <v>1</v>
      </c>
      <c r="HA89" s="1519">
        <f>GW89</f>
        <v>4</v>
      </c>
      <c r="HB89" s="1519">
        <f t="shared" ref="HB89:HH89" si="604">GX89</f>
        <v>2</v>
      </c>
      <c r="HC89" s="1519">
        <f t="shared" si="604"/>
        <v>1.3333299999999999</v>
      </c>
      <c r="HD89" s="1519">
        <f t="shared" si="604"/>
        <v>1</v>
      </c>
      <c r="HE89" s="1519">
        <f t="shared" si="604"/>
        <v>4</v>
      </c>
      <c r="HF89" s="1519">
        <f t="shared" si="604"/>
        <v>2</v>
      </c>
      <c r="HG89" s="1519">
        <f t="shared" si="604"/>
        <v>1.3333299999999999</v>
      </c>
      <c r="HH89" s="1519">
        <f t="shared" si="604"/>
        <v>1</v>
      </c>
      <c r="HP89" s="2005"/>
      <c r="HZ89" s="210"/>
      <c r="IB89" s="398"/>
      <c r="IC89" s="398"/>
      <c r="ID89" s="398"/>
      <c r="IE89" s="398"/>
      <c r="IF89" s="398"/>
      <c r="IG89" s="398"/>
      <c r="JG89" s="402"/>
      <c r="JH89" s="402"/>
      <c r="JI89" s="402"/>
      <c r="JN89" s="402"/>
      <c r="JO89" s="402"/>
      <c r="JP89" s="402"/>
    </row>
    <row r="90" spans="4:276" s="396" customFormat="1" ht="9.9499999999999993" customHeight="1" outlineLevel="1" x14ac:dyDescent="0.15">
      <c r="S90" s="888"/>
      <c r="T90" s="962"/>
      <c r="U90" s="962"/>
      <c r="V90" s="962"/>
      <c r="W90" s="962"/>
      <c r="X90" s="962"/>
      <c r="Y90" s="962"/>
      <c r="Z90" s="962"/>
      <c r="AA90" s="962"/>
      <c r="AB90" s="962"/>
      <c r="AC90" s="962"/>
      <c r="AD90" s="962"/>
      <c r="AE90" s="962"/>
      <c r="BQ90" s="398"/>
      <c r="CH90" s="414"/>
      <c r="CI90" s="1125" t="s">
        <v>411</v>
      </c>
      <c r="CJ90" s="1126"/>
      <c r="CK90" s="1096">
        <f t="shared" ref="CK90:CV90" si="605">CK32*CK86</f>
        <v>0</v>
      </c>
      <c r="CL90" s="1096">
        <f t="shared" si="605"/>
        <v>0</v>
      </c>
      <c r="CM90" s="1096">
        <f t="shared" si="605"/>
        <v>0</v>
      </c>
      <c r="CN90" s="1096">
        <f t="shared" si="605"/>
        <v>0</v>
      </c>
      <c r="CO90" s="1096">
        <f t="shared" si="605"/>
        <v>0.64600000000000002</v>
      </c>
      <c r="CP90" s="1096">
        <f t="shared" si="605"/>
        <v>1.7669999999999999</v>
      </c>
      <c r="CQ90" s="1096">
        <f t="shared" si="605"/>
        <v>1.5010000000000003</v>
      </c>
      <c r="CR90" s="1096">
        <f t="shared" si="605"/>
        <v>3.6859999999999999</v>
      </c>
      <c r="CS90" s="1096">
        <f t="shared" si="605"/>
        <v>0.66500000000000004</v>
      </c>
      <c r="CT90" s="1096">
        <f t="shared" si="605"/>
        <v>0.15199999999999997</v>
      </c>
      <c r="CU90" s="1096">
        <f t="shared" si="605"/>
        <v>3.097</v>
      </c>
      <c r="CV90" s="1096">
        <f t="shared" si="605"/>
        <v>3.6859999999999999</v>
      </c>
      <c r="CW90" s="415"/>
      <c r="CX90" s="398"/>
      <c r="CY90" s="398"/>
      <c r="CZ90" s="398"/>
      <c r="DA90" s="398"/>
      <c r="DB90" s="398"/>
      <c r="DC90" s="398"/>
      <c r="DD90" s="398"/>
      <c r="DE90" s="398"/>
      <c r="DF90" s="398"/>
      <c r="DG90" s="398"/>
      <c r="DH90" s="398"/>
      <c r="DI90" s="398"/>
      <c r="DJ90" s="398"/>
      <c r="DL90" s="398"/>
      <c r="DM90" s="398"/>
      <c r="DN90" s="398"/>
      <c r="DO90" s="398"/>
      <c r="DP90" s="398"/>
      <c r="DQ90" s="398"/>
      <c r="DR90" s="398"/>
      <c r="DS90" s="398"/>
      <c r="DT90" s="398"/>
      <c r="DU90" s="398"/>
      <c r="DV90" s="398"/>
      <c r="DW90" s="398"/>
      <c r="DX90" s="398"/>
      <c r="DY90" s="425" t="str">
        <f>CI101</f>
        <v>Innehav utan bestämmande inflytande</v>
      </c>
      <c r="DZ90" s="1372"/>
      <c r="EA90" s="1372">
        <f>CT101</f>
        <v>2.1428571428571408E-2</v>
      </c>
      <c r="EB90" s="1372">
        <f>CP101</f>
        <v>7.7348066298343149E-2</v>
      </c>
      <c r="EC90" s="1372">
        <f t="shared" si="603"/>
        <v>2.1428571428571408E-2</v>
      </c>
      <c r="ED90" s="1372">
        <f t="shared" si="603"/>
        <v>7.7348066298343149E-2</v>
      </c>
      <c r="EE90" s="1372">
        <f t="shared" si="603"/>
        <v>2.1428571428571408E-2</v>
      </c>
      <c r="EF90" s="1372">
        <f>CR101</f>
        <v>-0.72727272727278958</v>
      </c>
      <c r="GU90" s="803" t="s">
        <v>748</v>
      </c>
      <c r="GW90" s="1518">
        <f>GW88*GW89</f>
        <v>2324.8000000000002</v>
      </c>
      <c r="GX90" s="1518">
        <f t="shared" ref="GX90:HH90" si="606">GX88*GX89</f>
        <v>2371.4</v>
      </c>
      <c r="GY90" s="1518">
        <f t="shared" si="606"/>
        <v>2256.3943589999999</v>
      </c>
      <c r="GZ90" s="1518">
        <f t="shared" si="606"/>
        <v>2271.8000000000002</v>
      </c>
      <c r="HA90" s="1518">
        <f t="shared" si="606"/>
        <v>2558.4</v>
      </c>
      <c r="HB90" s="1518">
        <f t="shared" si="606"/>
        <v>2623.2</v>
      </c>
      <c r="HC90" s="1518">
        <f t="shared" si="606"/>
        <v>2412.527302</v>
      </c>
      <c r="HD90" s="1518">
        <f t="shared" si="606"/>
        <v>2329.8000000000002</v>
      </c>
      <c r="HE90" s="1518">
        <f t="shared" si="606"/>
        <v>2438.4</v>
      </c>
      <c r="HF90" s="1518">
        <f t="shared" si="606"/>
        <v>2588.6</v>
      </c>
      <c r="HG90" s="1518">
        <f t="shared" si="606"/>
        <v>2412.527302</v>
      </c>
      <c r="HH90" s="1518">
        <f t="shared" si="606"/>
        <v>2329.8000000000002</v>
      </c>
      <c r="HJ90" s="401"/>
      <c r="HK90" s="401"/>
      <c r="HL90" s="401"/>
      <c r="HM90" s="401"/>
      <c r="HN90" s="401"/>
      <c r="HO90" s="401"/>
      <c r="HP90" s="2002"/>
      <c r="HZ90" s="210"/>
      <c r="IB90" s="398"/>
      <c r="IC90" s="398"/>
      <c r="ID90" s="398"/>
      <c r="IE90" s="398"/>
      <c r="IF90" s="398"/>
      <c r="IG90" s="398"/>
      <c r="JG90" s="402"/>
      <c r="JH90" s="402"/>
      <c r="JI90" s="402"/>
      <c r="JN90" s="402"/>
      <c r="JO90" s="402"/>
      <c r="JP90" s="402"/>
    </row>
    <row r="91" spans="4:276" s="396" customFormat="1" ht="9.9499999999999993" customHeight="1" outlineLevel="1" x14ac:dyDescent="0.15">
      <c r="D91" s="1362" t="s">
        <v>412</v>
      </c>
      <c r="E91" s="1363"/>
      <c r="G91" s="1361">
        <f t="shared" ref="G91:R91" si="607">G19+BQ13</f>
        <v>66.500000000000043</v>
      </c>
      <c r="H91" s="1361">
        <f t="shared" si="607"/>
        <v>122.0000000000001</v>
      </c>
      <c r="I91" s="1361">
        <f t="shared" si="607"/>
        <v>155.1999999999999</v>
      </c>
      <c r="J91" s="1361">
        <f t="shared" si="607"/>
        <v>182.80000000000015</v>
      </c>
      <c r="K91" s="1361">
        <f t="shared" si="607"/>
        <v>79.400000000000063</v>
      </c>
      <c r="L91" s="1361">
        <f t="shared" si="607"/>
        <v>120.69999999999992</v>
      </c>
      <c r="M91" s="1361">
        <f t="shared" si="607"/>
        <v>149.19999999999999</v>
      </c>
      <c r="N91" s="1361">
        <f t="shared" si="607"/>
        <v>170.40000000000009</v>
      </c>
      <c r="O91" s="1361">
        <f t="shared" si="607"/>
        <v>72.399999999999991</v>
      </c>
      <c r="P91" s="1361">
        <f t="shared" si="607"/>
        <v>164.50000000000003</v>
      </c>
      <c r="Q91" s="1361">
        <f t="shared" si="607"/>
        <v>127</v>
      </c>
      <c r="R91" s="1361">
        <f t="shared" si="607"/>
        <v>148.60000000000011</v>
      </c>
      <c r="T91" s="398"/>
      <c r="U91" s="398"/>
      <c r="V91" s="398"/>
      <c r="W91" s="398"/>
      <c r="X91" s="398"/>
      <c r="Y91" s="398"/>
      <c r="Z91" s="398"/>
      <c r="AA91" s="398"/>
      <c r="AB91" s="398"/>
      <c r="AC91" s="398"/>
      <c r="AD91" s="398"/>
      <c r="AE91" s="398"/>
      <c r="BQ91" s="398"/>
      <c r="CH91" s="414"/>
      <c r="CI91" s="416" t="s">
        <v>413</v>
      </c>
      <c r="CJ91" s="417"/>
      <c r="CK91" s="1069">
        <f>SUM(CK89:CK90)</f>
        <v>-2.328315000000003</v>
      </c>
      <c r="CL91" s="1069">
        <f t="shared" ref="CL91:CV91" si="608">SUM(CL89:CL90)</f>
        <v>-6.1187150000000097</v>
      </c>
      <c r="CM91" s="1069">
        <f t="shared" si="608"/>
        <v>-0.10351499999996293</v>
      </c>
      <c r="CN91" s="1069">
        <f t="shared" si="608"/>
        <v>0.41148499999995269</v>
      </c>
      <c r="CO91" s="1069">
        <f t="shared" si="608"/>
        <v>-6.4146500000000124</v>
      </c>
      <c r="CP91" s="1069">
        <f t="shared" si="608"/>
        <v>-0.47324999999995843</v>
      </c>
      <c r="CQ91" s="1069">
        <f t="shared" si="608"/>
        <v>0.9911499999999831</v>
      </c>
      <c r="CR91" s="1069">
        <f t="shared" si="608"/>
        <v>4.3709499999999775</v>
      </c>
      <c r="CS91" s="1069">
        <f t="shared" si="608"/>
        <v>-4.0522677479999949</v>
      </c>
      <c r="CT91" s="1069">
        <f t="shared" si="608"/>
        <v>-12.799808336000023</v>
      </c>
      <c r="CU91" s="1069">
        <f t="shared" si="608"/>
        <v>6.1870000000000092</v>
      </c>
      <c r="CV91" s="1069">
        <f t="shared" si="608"/>
        <v>-0.72240000000001903</v>
      </c>
      <c r="CW91" s="1015"/>
      <c r="CX91" s="398"/>
      <c r="CY91" s="398"/>
      <c r="CZ91" s="398"/>
      <c r="DA91" s="398"/>
      <c r="DB91" s="398"/>
      <c r="DC91" s="398"/>
      <c r="DD91" s="398"/>
      <c r="DE91" s="398"/>
      <c r="DF91" s="398"/>
      <c r="DG91" s="398"/>
      <c r="DH91" s="398"/>
      <c r="DI91" s="398"/>
      <c r="DJ91" s="398"/>
      <c r="DL91" s="398"/>
      <c r="DM91" s="398"/>
      <c r="DN91" s="398"/>
      <c r="DO91" s="398"/>
      <c r="DP91" s="398"/>
      <c r="DQ91" s="398"/>
      <c r="DR91" s="398"/>
      <c r="DS91" s="398"/>
      <c r="DT91" s="398"/>
      <c r="DU91" s="398"/>
      <c r="DV91" s="398"/>
      <c r="DW91" s="398"/>
      <c r="DX91" s="398"/>
      <c r="DY91" s="427" t="str">
        <f>CI102</f>
        <v>Total</v>
      </c>
      <c r="DZ91" s="1373"/>
      <c r="EA91" s="1373">
        <f t="shared" ref="EA91:EF91" si="609">SUM(EA89:EA90)</f>
        <v>0.99999999999999978</v>
      </c>
      <c r="EB91" s="1373">
        <f t="shared" si="609"/>
        <v>0.99999999999999989</v>
      </c>
      <c r="EC91" s="1373">
        <f t="shared" si="609"/>
        <v>0.99999999999999978</v>
      </c>
      <c r="ED91" s="1373">
        <f t="shared" si="609"/>
        <v>0.99999999999999989</v>
      </c>
      <c r="EE91" s="1373">
        <f t="shared" si="609"/>
        <v>0.99999999999999978</v>
      </c>
      <c r="EF91" s="1373">
        <f t="shared" si="609"/>
        <v>1.0000000000000009</v>
      </c>
      <c r="HP91" s="2005"/>
      <c r="HZ91" s="210"/>
      <c r="IB91" s="398"/>
      <c r="IC91" s="398"/>
      <c r="ID91" s="398"/>
      <c r="IE91" s="398"/>
      <c r="IF91" s="398"/>
      <c r="IG91" s="398"/>
      <c r="JG91" s="402"/>
      <c r="JH91" s="402"/>
      <c r="JI91" s="402"/>
      <c r="JN91" s="402"/>
      <c r="JO91" s="402"/>
      <c r="JP91" s="402"/>
    </row>
    <row r="92" spans="4:276" s="396" customFormat="1" ht="9.9499999999999993" customHeight="1" outlineLevel="1" x14ac:dyDescent="0.2">
      <c r="T92" s="398"/>
      <c r="U92" s="398"/>
      <c r="V92" s="398"/>
      <c r="W92" s="398"/>
      <c r="X92" s="398"/>
      <c r="Y92" s="398"/>
      <c r="Z92" s="398"/>
      <c r="AA92" s="398"/>
      <c r="AB92" s="398"/>
      <c r="AC92" s="398"/>
      <c r="AD92" s="398"/>
      <c r="AE92" s="398"/>
      <c r="BQ92" s="398"/>
      <c r="CK92" s="962"/>
      <c r="CL92" s="962"/>
      <c r="CM92" s="962"/>
      <c r="CN92" s="962"/>
      <c r="CO92" s="962"/>
      <c r="CP92" s="962"/>
      <c r="CQ92" s="962"/>
      <c r="CR92" s="962"/>
      <c r="CS92" s="962"/>
      <c r="CT92" s="962"/>
      <c r="CU92" s="962"/>
      <c r="CV92" s="962"/>
      <c r="CW92" s="398"/>
      <c r="CX92" s="398"/>
      <c r="CY92" s="398"/>
      <c r="CZ92" s="398"/>
      <c r="DA92" s="398"/>
      <c r="DB92" s="398"/>
      <c r="DC92" s="398"/>
      <c r="DD92" s="398"/>
      <c r="DE92" s="398"/>
      <c r="DF92" s="398"/>
      <c r="DG92" s="398"/>
      <c r="DH92" s="398"/>
      <c r="DI92" s="398"/>
      <c r="DJ92" s="398"/>
      <c r="DL92" s="398"/>
      <c r="DM92" s="398"/>
      <c r="DN92" s="398"/>
      <c r="DO92" s="398"/>
      <c r="DP92" s="398"/>
      <c r="DQ92" s="398"/>
      <c r="DR92" s="398"/>
      <c r="DS92" s="398"/>
      <c r="DT92" s="398"/>
      <c r="DU92" s="398"/>
      <c r="DV92" s="398"/>
      <c r="DW92" s="398"/>
      <c r="DX92" s="398"/>
      <c r="DZ92" s="398"/>
      <c r="EA92" s="398"/>
      <c r="EB92" s="398"/>
      <c r="EC92" s="398"/>
      <c r="ED92" s="398"/>
      <c r="EE92" s="398"/>
      <c r="EF92" s="398"/>
      <c r="GU92" s="256"/>
      <c r="GW92" s="214">
        <f t="shared" ref="GW92:HH92" si="610">GW$28</f>
        <v>2403</v>
      </c>
      <c r="GX92" s="214">
        <f t="shared" si="610"/>
        <v>2406</v>
      </c>
      <c r="GY92" s="214">
        <f t="shared" si="610"/>
        <v>2409</v>
      </c>
      <c r="GZ92" s="214">
        <f t="shared" si="610"/>
        <v>2412</v>
      </c>
      <c r="HA92" s="214">
        <f t="shared" si="610"/>
        <v>2503</v>
      </c>
      <c r="HB92" s="214">
        <f t="shared" si="610"/>
        <v>2506</v>
      </c>
      <c r="HC92" s="214">
        <f t="shared" si="610"/>
        <v>2509</v>
      </c>
      <c r="HD92" s="214">
        <f t="shared" si="610"/>
        <v>2512</v>
      </c>
      <c r="HE92" s="214">
        <f t="shared" si="610"/>
        <v>2603</v>
      </c>
      <c r="HF92" s="214">
        <f t="shared" si="610"/>
        <v>2606</v>
      </c>
      <c r="HG92" s="214">
        <f t="shared" si="610"/>
        <v>2609</v>
      </c>
      <c r="HH92" s="214">
        <f t="shared" si="610"/>
        <v>2612</v>
      </c>
      <c r="HJ92" s="214" t="str">
        <f t="shared" ref="HJ92:HO92" si="611">HJ$10</f>
        <v>Kvartal 2</v>
      </c>
      <c r="HK92" s="214" t="str">
        <f t="shared" si="611"/>
        <v>Kvartal 2</v>
      </c>
      <c r="HL92" s="214" t="str">
        <f t="shared" si="611"/>
        <v>Kvartal 1-2</v>
      </c>
      <c r="HM92" s="214" t="str">
        <f t="shared" si="611"/>
        <v>Kvartal 1-2</v>
      </c>
      <c r="HN92" s="214" t="str">
        <f t="shared" si="611"/>
        <v>Kvartal 2, R12</v>
      </c>
      <c r="HO92" s="214" t="str">
        <f t="shared" si="611"/>
        <v>Helår</v>
      </c>
      <c r="HP92" s="2007"/>
      <c r="HZ92" s="210"/>
      <c r="IB92" s="398"/>
      <c r="IC92" s="398"/>
      <c r="ID92" s="398"/>
      <c r="IE92" s="398"/>
      <c r="IF92" s="398"/>
      <c r="IG92" s="398"/>
      <c r="JG92" s="402"/>
      <c r="JH92" s="402"/>
      <c r="JI92" s="402"/>
      <c r="JN92" s="402"/>
      <c r="JO92" s="402"/>
      <c r="JP92" s="402"/>
    </row>
    <row r="93" spans="4:276" s="396" customFormat="1" ht="9.9499999999999993" customHeight="1" outlineLevel="1" x14ac:dyDescent="0.2">
      <c r="T93" s="398"/>
      <c r="U93" s="398"/>
      <c r="V93" s="398"/>
      <c r="W93" s="398"/>
      <c r="X93" s="398"/>
      <c r="Y93" s="398"/>
      <c r="Z93" s="398"/>
      <c r="AA93" s="398"/>
      <c r="AB93" s="398"/>
      <c r="AC93" s="398"/>
      <c r="AD93" s="398"/>
      <c r="AE93" s="398"/>
      <c r="BQ93" s="398"/>
      <c r="CI93" s="418" t="str">
        <f>CI30</f>
        <v>Inkomstskatt på kvarvarande verksamhet</v>
      </c>
      <c r="CJ93" s="419"/>
      <c r="CK93" s="238">
        <f t="shared" ref="CK93:CV93" si="612">IFERROR(CK30/CK29,"N/A")</f>
        <v>-0.20599999999999996</v>
      </c>
      <c r="CL93" s="238">
        <f t="shared" si="612"/>
        <v>-0.20599999999999999</v>
      </c>
      <c r="CM93" s="238">
        <f t="shared" si="612"/>
        <v>-0.20599999999999999</v>
      </c>
      <c r="CN93" s="238">
        <f t="shared" si="612"/>
        <v>-0.20599999999999999</v>
      </c>
      <c r="CO93" s="238">
        <f t="shared" si="612"/>
        <v>-0.20599999999999999</v>
      </c>
      <c r="CP93" s="238">
        <f t="shared" si="612"/>
        <v>-0.20600000000000002</v>
      </c>
      <c r="CQ93" s="238">
        <f t="shared" si="612"/>
        <v>-0.20600000000000002</v>
      </c>
      <c r="CR93" s="238">
        <f t="shared" si="612"/>
        <v>-0.20599999999999999</v>
      </c>
      <c r="CS93" s="238">
        <f t="shared" si="612"/>
        <v>-0.20600000000000002</v>
      </c>
      <c r="CT93" s="238">
        <f t="shared" si="612"/>
        <v>-0.20599999999999999</v>
      </c>
      <c r="CU93" s="238">
        <f t="shared" si="612"/>
        <v>-0.20599999999999999</v>
      </c>
      <c r="CV93" s="238">
        <f t="shared" si="612"/>
        <v>-0.20599999999999999</v>
      </c>
      <c r="CW93" s="398"/>
      <c r="CX93" s="398"/>
      <c r="CY93" s="398"/>
      <c r="CZ93" s="398"/>
      <c r="DA93" s="398"/>
      <c r="DB93" s="398"/>
      <c r="DC93" s="398"/>
      <c r="DD93" s="398"/>
      <c r="DE93" s="398"/>
      <c r="DF93" s="398"/>
      <c r="DG93" s="398"/>
      <c r="DH93" s="398"/>
      <c r="DI93" s="398"/>
      <c r="DJ93" s="398"/>
      <c r="DL93" s="398"/>
      <c r="DM93" s="398"/>
      <c r="DN93" s="398"/>
      <c r="DO93" s="398"/>
      <c r="DP93" s="398"/>
      <c r="DQ93" s="398"/>
      <c r="DR93" s="398"/>
      <c r="DS93" s="398"/>
      <c r="DT93" s="398"/>
      <c r="DU93" s="398"/>
      <c r="DV93" s="398"/>
      <c r="DW93" s="398"/>
      <c r="DX93" s="398"/>
      <c r="DZ93" s="398"/>
      <c r="EA93" s="398"/>
      <c r="EB93" s="398"/>
      <c r="EC93" s="398"/>
      <c r="ED93" s="398"/>
      <c r="EE93" s="398"/>
      <c r="EF93" s="398"/>
      <c r="GU93" s="1581"/>
      <c r="GW93" s="1124" t="s">
        <v>159</v>
      </c>
      <c r="GX93" s="1124" t="s">
        <v>159</v>
      </c>
      <c r="GY93" s="1124" t="s">
        <v>159</v>
      </c>
      <c r="GZ93" s="1124" t="s">
        <v>159</v>
      </c>
      <c r="HA93" s="1124" t="s">
        <v>159</v>
      </c>
      <c r="HB93" s="1124" t="s">
        <v>159</v>
      </c>
      <c r="HC93" s="1124" t="s">
        <v>159</v>
      </c>
      <c r="HD93" s="1124" t="s">
        <v>159</v>
      </c>
      <c r="HE93" s="1124" t="s">
        <v>159</v>
      </c>
      <c r="HF93" s="1124" t="s">
        <v>159</v>
      </c>
      <c r="HG93" s="1124" t="s">
        <v>159</v>
      </c>
      <c r="HH93" s="1124" t="s">
        <v>159</v>
      </c>
      <c r="HJ93" s="1124">
        <f t="shared" ref="HJ93:HO93" si="613">HJ$11</f>
        <v>2026</v>
      </c>
      <c r="HK93" s="1124">
        <f t="shared" si="613"/>
        <v>2025</v>
      </c>
      <c r="HL93" s="1124">
        <f t="shared" si="613"/>
        <v>2026</v>
      </c>
      <c r="HM93" s="1124">
        <f t="shared" si="613"/>
        <v>2025</v>
      </c>
      <c r="HN93" s="1124">
        <f t="shared" si="613"/>
        <v>2026</v>
      </c>
      <c r="HO93" s="1124">
        <f t="shared" si="613"/>
        <v>2025</v>
      </c>
      <c r="HP93" s="2007"/>
      <c r="HZ93" s="210"/>
      <c r="IB93" s="398"/>
      <c r="IC93" s="398"/>
      <c r="ID93" s="398"/>
      <c r="IE93" s="398"/>
      <c r="IF93" s="398"/>
      <c r="IG93" s="398"/>
      <c r="JG93" s="402"/>
      <c r="JH93" s="402"/>
      <c r="JI93" s="402"/>
      <c r="JN93" s="402"/>
      <c r="JO93" s="402"/>
      <c r="JP93" s="402"/>
    </row>
    <row r="94" spans="4:276" s="396" customFormat="1" ht="9.9499999999999993" customHeight="1" outlineLevel="1" x14ac:dyDescent="0.2">
      <c r="T94" s="398"/>
      <c r="U94" s="398"/>
      <c r="V94" s="398"/>
      <c r="W94" s="398"/>
      <c r="X94" s="398"/>
      <c r="Y94" s="398"/>
      <c r="Z94" s="398"/>
      <c r="AA94" s="398"/>
      <c r="AB94" s="398"/>
      <c r="AC94" s="398"/>
      <c r="AD94" s="398"/>
      <c r="AE94" s="398"/>
      <c r="AV94" s="400"/>
      <c r="AW94" s="400"/>
      <c r="AX94" s="400" t="str">
        <f t="shared" ref="AX94:BC95" si="614">AX10</f>
        <v>Kvartal 2</v>
      </c>
      <c r="AY94" s="400" t="str">
        <f t="shared" si="614"/>
        <v>Kvartal 2</v>
      </c>
      <c r="AZ94" s="400" t="str">
        <f t="shared" si="614"/>
        <v>Kvartal 1-2</v>
      </c>
      <c r="BA94" s="400" t="str">
        <f t="shared" si="614"/>
        <v>Kvartal 1-2</v>
      </c>
      <c r="BB94" s="400" t="str">
        <f t="shared" si="614"/>
        <v>Kvartal 2, R12</v>
      </c>
      <c r="BC94" s="400" t="str">
        <f t="shared" si="614"/>
        <v>Helår</v>
      </c>
      <c r="BQ94" s="398"/>
      <c r="CI94" s="418" t="str">
        <f>CI33</f>
        <v>Skatt på avvecklad verksamhet</v>
      </c>
      <c r="CJ94" s="419"/>
      <c r="CK94" s="238" t="str">
        <f t="shared" ref="CK94:CV94" si="615">IFERROR(CK33/CK32,"N/A")</f>
        <v>N/A</v>
      </c>
      <c r="CL94" s="238" t="str">
        <f t="shared" si="615"/>
        <v>N/A</v>
      </c>
      <c r="CM94" s="238" t="str">
        <f t="shared" si="615"/>
        <v>N/A</v>
      </c>
      <c r="CN94" s="238" t="str">
        <f t="shared" si="615"/>
        <v>N/A</v>
      </c>
      <c r="CO94" s="238">
        <f t="shared" si="615"/>
        <v>-0.19</v>
      </c>
      <c r="CP94" s="238">
        <f t="shared" si="615"/>
        <v>-0.19</v>
      </c>
      <c r="CQ94" s="238">
        <f t="shared" si="615"/>
        <v>-0.19</v>
      </c>
      <c r="CR94" s="238">
        <f t="shared" si="615"/>
        <v>-0.19</v>
      </c>
      <c r="CS94" s="238">
        <f t="shared" si="615"/>
        <v>-0.19</v>
      </c>
      <c r="CT94" s="238">
        <f t="shared" si="615"/>
        <v>-0.19</v>
      </c>
      <c r="CU94" s="238">
        <f t="shared" si="615"/>
        <v>-0.19</v>
      </c>
      <c r="CV94" s="238">
        <f t="shared" si="615"/>
        <v>-0.19</v>
      </c>
      <c r="CW94" s="398"/>
      <c r="CX94" s="398"/>
      <c r="CY94" s="398"/>
      <c r="CZ94" s="398"/>
      <c r="DA94" s="398"/>
      <c r="DB94" s="398"/>
      <c r="DC94" s="398"/>
      <c r="DD94" s="398"/>
      <c r="DE94" s="398"/>
      <c r="DF94" s="398"/>
      <c r="DG94" s="398"/>
      <c r="DH94" s="398"/>
      <c r="DI94" s="398"/>
      <c r="DJ94" s="398"/>
      <c r="DL94" s="398"/>
      <c r="DM94" s="398"/>
      <c r="DN94" s="398"/>
      <c r="DO94" s="398"/>
      <c r="DP94" s="398"/>
      <c r="DQ94" s="398"/>
      <c r="DR94" s="398"/>
      <c r="DS94" s="398"/>
      <c r="DT94" s="398"/>
      <c r="DU94" s="398"/>
      <c r="DV94" s="398"/>
      <c r="DW94" s="398"/>
      <c r="DX94" s="398"/>
      <c r="DY94" s="400"/>
      <c r="DZ94" s="400"/>
      <c r="EA94" s="400" t="str">
        <f>EA$10</f>
        <v>Kvartal 2</v>
      </c>
      <c r="EB94" s="400" t="str">
        <f t="shared" ref="EB94:EF94" si="616">EB$10</f>
        <v>Kvartal 2</v>
      </c>
      <c r="EC94" s="400" t="str">
        <f t="shared" si="616"/>
        <v>Kvartal 1-2</v>
      </c>
      <c r="ED94" s="400" t="str">
        <f t="shared" si="616"/>
        <v>Kvartal 1-2</v>
      </c>
      <c r="EE94" s="400" t="str">
        <f t="shared" si="616"/>
        <v>Kvartal 2, R12</v>
      </c>
      <c r="EF94" s="400" t="str">
        <f t="shared" si="616"/>
        <v>Helår</v>
      </c>
      <c r="GU94" s="1516" t="s">
        <v>746</v>
      </c>
      <c r="GW94" s="1297">
        <f>'Koncern BR'!H35</f>
        <v>118.1</v>
      </c>
      <c r="GX94" s="1297">
        <f>'Koncern BR'!I35</f>
        <v>106.9</v>
      </c>
      <c r="GY94" s="1297">
        <f>'Koncern BR'!J35</f>
        <v>99.9</v>
      </c>
      <c r="GZ94" s="1297">
        <f>'Koncern BR'!K35</f>
        <v>94.8</v>
      </c>
      <c r="HA94" s="1297">
        <f>'Koncern BR'!L35</f>
        <v>87.4</v>
      </c>
      <c r="HB94" s="1297">
        <f>'Koncern BR'!M35</f>
        <v>83.2</v>
      </c>
      <c r="HC94" s="1297">
        <f>'Koncern BR'!N35</f>
        <v>77.3</v>
      </c>
      <c r="HD94" s="1297">
        <f>'Koncern BR'!O35</f>
        <v>73.7</v>
      </c>
      <c r="HE94" s="1297">
        <f>'Koncern BR'!P35</f>
        <v>69.400000000000006</v>
      </c>
      <c r="HF94" s="1297">
        <f>'Koncern BR'!Q35</f>
        <v>65.3</v>
      </c>
      <c r="HG94" s="1297">
        <f>'Koncern BR'!R35</f>
        <v>0</v>
      </c>
      <c r="HH94" s="1297">
        <f>'Koncern BR'!S35</f>
        <v>0</v>
      </c>
      <c r="HJ94" s="426">
        <f>HF94</f>
        <v>65.3</v>
      </c>
      <c r="HK94" s="426">
        <f>HB94</f>
        <v>83.2</v>
      </c>
      <c r="HL94" s="426">
        <f>HF94</f>
        <v>65.3</v>
      </c>
      <c r="HM94" s="426">
        <f>HB94</f>
        <v>83.2</v>
      </c>
      <c r="HN94" s="426">
        <f>HF94</f>
        <v>65.3</v>
      </c>
      <c r="HO94" s="426">
        <f>HD94</f>
        <v>73.7</v>
      </c>
      <c r="HP94" s="2008"/>
      <c r="HZ94" s="210"/>
      <c r="IB94" s="398"/>
      <c r="IC94" s="398"/>
      <c r="ID94" s="398"/>
      <c r="IE94" s="398"/>
      <c r="IF94" s="398"/>
      <c r="IG94" s="398"/>
      <c r="JG94" s="402"/>
      <c r="JH94" s="402"/>
      <c r="JI94" s="402"/>
      <c r="JN94" s="402"/>
      <c r="JO94" s="402"/>
      <c r="JP94" s="402"/>
    </row>
    <row r="95" spans="4:276" s="396" customFormat="1" ht="9.9499999999999993" customHeight="1" outlineLevel="1" x14ac:dyDescent="0.15">
      <c r="T95" s="398"/>
      <c r="U95" s="398"/>
      <c r="V95" s="398"/>
      <c r="W95" s="398"/>
      <c r="X95" s="398"/>
      <c r="Y95" s="398"/>
      <c r="Z95" s="398"/>
      <c r="AA95" s="398"/>
      <c r="AB95" s="398"/>
      <c r="AC95" s="398"/>
      <c r="AD95" s="398"/>
      <c r="AE95" s="398"/>
      <c r="AV95" s="404"/>
      <c r="AW95" s="404"/>
      <c r="AX95" s="404">
        <f t="shared" si="614"/>
        <v>2026</v>
      </c>
      <c r="AY95" s="404">
        <f t="shared" si="614"/>
        <v>2025</v>
      </c>
      <c r="AZ95" s="404">
        <f t="shared" si="614"/>
        <v>2026</v>
      </c>
      <c r="BA95" s="404">
        <f t="shared" si="614"/>
        <v>2025</v>
      </c>
      <c r="BB95" s="404">
        <f t="shared" si="614"/>
        <v>2026</v>
      </c>
      <c r="BC95" s="404">
        <f t="shared" si="614"/>
        <v>2025</v>
      </c>
      <c r="BQ95" s="398"/>
      <c r="CK95" s="962"/>
      <c r="CL95" s="962"/>
      <c r="CM95" s="962"/>
      <c r="CN95" s="962"/>
      <c r="CO95" s="962"/>
      <c r="CP95" s="962"/>
      <c r="CQ95" s="962"/>
      <c r="CR95" s="962"/>
      <c r="CS95" s="962"/>
      <c r="CT95" s="962"/>
      <c r="CU95" s="962"/>
      <c r="CV95" s="962"/>
      <c r="CW95" s="398"/>
      <c r="CX95" s="398"/>
      <c r="CY95" s="398"/>
      <c r="CZ95" s="398"/>
      <c r="DA95" s="398"/>
      <c r="DB95" s="398"/>
      <c r="DC95" s="398"/>
      <c r="DD95" s="398"/>
      <c r="DE95" s="398"/>
      <c r="DF95" s="398"/>
      <c r="DG95" s="398"/>
      <c r="DH95" s="398"/>
      <c r="DI95" s="398"/>
      <c r="DL95" s="398"/>
      <c r="DM95" s="398"/>
      <c r="DN95" s="398"/>
      <c r="DO95" s="398"/>
      <c r="DP95" s="398"/>
      <c r="DQ95" s="398"/>
      <c r="DR95" s="398"/>
      <c r="DS95" s="398"/>
      <c r="DT95" s="398"/>
      <c r="DU95" s="398"/>
      <c r="DV95" s="398"/>
      <c r="DW95" s="398"/>
      <c r="DX95" s="398"/>
      <c r="DY95" s="404"/>
      <c r="DZ95" s="404"/>
      <c r="EA95" s="404">
        <f>EA$11</f>
        <v>2026</v>
      </c>
      <c r="EB95" s="404">
        <f t="shared" ref="EB95:EF95" si="617">EB$11</f>
        <v>2025</v>
      </c>
      <c r="EC95" s="404">
        <f t="shared" si="617"/>
        <v>2026</v>
      </c>
      <c r="ED95" s="404">
        <f t="shared" si="617"/>
        <v>2025</v>
      </c>
      <c r="EE95" s="404">
        <f t="shared" si="617"/>
        <v>2026</v>
      </c>
      <c r="EF95" s="404">
        <f t="shared" si="617"/>
        <v>2025</v>
      </c>
      <c r="GU95" s="1516" t="s">
        <v>747</v>
      </c>
      <c r="GW95" s="1297">
        <f>'Koncern BR'!H38</f>
        <v>33.5</v>
      </c>
      <c r="GX95" s="1297">
        <f>'Koncern BR'!I38</f>
        <v>31.3</v>
      </c>
      <c r="GY95" s="1297">
        <f>'Koncern BR'!J38</f>
        <v>30.4</v>
      </c>
      <c r="GZ95" s="1297">
        <f>'Koncern BR'!K38</f>
        <v>30.5</v>
      </c>
      <c r="HA95" s="1297">
        <f>'Koncern BR'!L38</f>
        <v>29.1</v>
      </c>
      <c r="HB95" s="1297">
        <f>'Koncern BR'!M38</f>
        <v>71.3</v>
      </c>
      <c r="HC95" s="1297">
        <f>'Koncern BR'!N38</f>
        <v>121.1</v>
      </c>
      <c r="HD95" s="1297">
        <f>'Koncern BR'!O38</f>
        <v>150.1</v>
      </c>
      <c r="HE95" s="1297">
        <f>'Koncern BR'!P38</f>
        <v>120.3</v>
      </c>
      <c r="HF95" s="1297">
        <f>'Koncern BR'!Q38</f>
        <v>53.5</v>
      </c>
      <c r="HG95" s="1297">
        <f>'Koncern BR'!R38</f>
        <v>0</v>
      </c>
      <c r="HH95" s="1297">
        <f>'Koncern BR'!S38</f>
        <v>0</v>
      </c>
      <c r="HJ95" s="426">
        <f t="shared" ref="HJ95:HJ96" si="618">HF95</f>
        <v>53.5</v>
      </c>
      <c r="HK95" s="426">
        <f t="shared" ref="HK95:HK96" si="619">HB95</f>
        <v>71.3</v>
      </c>
      <c r="HL95" s="426">
        <f t="shared" ref="HL95:HL96" si="620">HF95</f>
        <v>53.5</v>
      </c>
      <c r="HM95" s="426">
        <f t="shared" ref="HM95:HM96" si="621">HB95</f>
        <v>71.3</v>
      </c>
      <c r="HN95" s="426">
        <f t="shared" ref="HN95:HN96" si="622">HF95</f>
        <v>53.5</v>
      </c>
      <c r="HO95" s="426">
        <f t="shared" ref="HO95:HO96" si="623">HD95</f>
        <v>150.1</v>
      </c>
      <c r="HP95" s="2008"/>
      <c r="HZ95" s="210"/>
      <c r="IB95" s="398"/>
      <c r="IC95" s="398"/>
      <c r="ID95" s="398"/>
      <c r="IE95" s="398"/>
      <c r="IF95" s="398"/>
      <c r="IG95" s="398"/>
      <c r="JG95" s="402"/>
      <c r="JH95" s="402"/>
      <c r="JI95" s="402"/>
      <c r="JN95" s="402"/>
      <c r="JO95" s="402"/>
      <c r="JP95" s="402"/>
    </row>
    <row r="96" spans="4:276" s="396" customFormat="1" ht="9.9499999999999993" customHeight="1" outlineLevel="1" x14ac:dyDescent="0.15">
      <c r="T96" s="398"/>
      <c r="U96" s="398"/>
      <c r="V96" s="398"/>
      <c r="W96" s="398"/>
      <c r="X96" s="398"/>
      <c r="Y96" s="398"/>
      <c r="Z96" s="398"/>
      <c r="AA96" s="398"/>
      <c r="AB96" s="398"/>
      <c r="AC96" s="398"/>
      <c r="AD96" s="398"/>
      <c r="AE96" s="398"/>
      <c r="AV96" s="1483" t="s">
        <v>77</v>
      </c>
      <c r="AW96" s="1484"/>
      <c r="AX96" s="1484">
        <f>CT107</f>
        <v>7398775</v>
      </c>
      <c r="AY96" s="1484">
        <f>CP107</f>
        <v>7398775</v>
      </c>
      <c r="AZ96" s="1484">
        <f>AX96</f>
        <v>7398775</v>
      </c>
      <c r="BA96" s="1484">
        <f>AY96</f>
        <v>7398775</v>
      </c>
      <c r="BB96" s="1484">
        <f>BA96</f>
        <v>7398775</v>
      </c>
      <c r="BC96" s="1484">
        <f>CR107</f>
        <v>7398775</v>
      </c>
      <c r="BQ96" s="398"/>
      <c r="CK96" s="962"/>
      <c r="CL96" s="962"/>
      <c r="CM96" s="962"/>
      <c r="CN96" s="962"/>
      <c r="CO96" s="962"/>
      <c r="CP96" s="962"/>
      <c r="CQ96" s="962"/>
      <c r="CR96" s="962"/>
      <c r="CS96" s="962"/>
      <c r="CT96" s="962"/>
      <c r="CU96" s="962"/>
      <c r="CV96" s="962"/>
      <c r="CW96" s="398"/>
      <c r="CX96" s="398"/>
      <c r="CY96" s="398"/>
      <c r="CZ96" s="398"/>
      <c r="DA96" s="398"/>
      <c r="DB96" s="398"/>
      <c r="DC96" s="398"/>
      <c r="DD96" s="398"/>
      <c r="DE96" s="398"/>
      <c r="DF96" s="398"/>
      <c r="DG96" s="398"/>
      <c r="DH96" s="398"/>
      <c r="DI96" s="398"/>
      <c r="DJ96" s="398"/>
      <c r="DL96" s="398"/>
      <c r="DM96" s="398"/>
      <c r="DN96" s="398"/>
      <c r="DO96" s="398"/>
      <c r="DP96" s="398"/>
      <c r="DQ96" s="398"/>
      <c r="DR96" s="398"/>
      <c r="DS96" s="398"/>
      <c r="DT96" s="398"/>
      <c r="DU96" s="398"/>
      <c r="DV96" s="398"/>
      <c r="DW96" s="398"/>
      <c r="DX96" s="398"/>
      <c r="DY96" s="406" t="str">
        <f>CI107</f>
        <v>Antalet aktier</v>
      </c>
      <c r="DZ96" s="407"/>
      <c r="EA96" s="407">
        <f>CT107</f>
        <v>7398775</v>
      </c>
      <c r="EB96" s="407">
        <f>CP107</f>
        <v>7398775</v>
      </c>
      <c r="EC96" s="407">
        <f>EA96</f>
        <v>7398775</v>
      </c>
      <c r="ED96" s="407">
        <f>EB96</f>
        <v>7398775</v>
      </c>
      <c r="EE96" s="407">
        <f>EC96</f>
        <v>7398775</v>
      </c>
      <c r="EF96" s="407">
        <f>CR107</f>
        <v>7398775</v>
      </c>
      <c r="GU96" s="869" t="s">
        <v>422</v>
      </c>
      <c r="GW96" s="1515">
        <f>'Koncern BR'!H23*-1</f>
        <v>-136.30000000000001</v>
      </c>
      <c r="GX96" s="1515">
        <f>'Koncern BR'!I23*-1</f>
        <v>-141</v>
      </c>
      <c r="GY96" s="1515">
        <f>'Koncern BR'!J23*-1</f>
        <v>-49.1</v>
      </c>
      <c r="GZ96" s="1515">
        <f>'Koncern BR'!K23*-1</f>
        <v>-68.7</v>
      </c>
      <c r="HA96" s="1515">
        <f>'Koncern BR'!L23*-1</f>
        <v>-49.9</v>
      </c>
      <c r="HB96" s="1515">
        <f>'Koncern BR'!M23*-1</f>
        <v>-38.5</v>
      </c>
      <c r="HC96" s="1515">
        <f>'Koncern BR'!N23*-1</f>
        <v>-56.5</v>
      </c>
      <c r="HD96" s="1515">
        <f>'Koncern BR'!O23*-1</f>
        <v>-50</v>
      </c>
      <c r="HE96" s="1515">
        <f>'Koncern BR'!P23*-1</f>
        <v>-37</v>
      </c>
      <c r="HF96" s="1515">
        <f>'Koncern BR'!Q23*-1</f>
        <v>-14.7</v>
      </c>
      <c r="HG96" s="1515">
        <f>'Koncern BR'!R23*-1</f>
        <v>0</v>
      </c>
      <c r="HH96" s="1515">
        <f>'Koncern BR'!S23*-1</f>
        <v>0</v>
      </c>
      <c r="HJ96" s="426">
        <f t="shared" si="618"/>
        <v>-14.7</v>
      </c>
      <c r="HK96" s="426">
        <f t="shared" si="619"/>
        <v>-38.5</v>
      </c>
      <c r="HL96" s="426">
        <f t="shared" si="620"/>
        <v>-14.7</v>
      </c>
      <c r="HM96" s="426">
        <f t="shared" si="621"/>
        <v>-38.5</v>
      </c>
      <c r="HN96" s="426">
        <f t="shared" si="622"/>
        <v>-14.7</v>
      </c>
      <c r="HO96" s="426">
        <f t="shared" si="623"/>
        <v>-50</v>
      </c>
      <c r="HP96" s="2005"/>
      <c r="HZ96" s="210"/>
      <c r="IB96" s="398"/>
      <c r="IC96" s="398"/>
      <c r="ID96" s="398"/>
      <c r="IE96" s="398"/>
      <c r="IF96" s="398"/>
      <c r="IG96" s="398"/>
      <c r="JG96" s="402"/>
      <c r="JH96" s="402"/>
      <c r="JI96" s="402"/>
      <c r="JN96" s="402"/>
      <c r="JO96" s="402"/>
      <c r="JP96" s="402"/>
    </row>
    <row r="97" spans="1:276" s="396" customFormat="1" ht="9.9499999999999993" customHeight="1" x14ac:dyDescent="0.15">
      <c r="T97" s="398"/>
      <c r="U97" s="398"/>
      <c r="V97" s="398"/>
      <c r="W97" s="398"/>
      <c r="X97" s="398"/>
      <c r="Y97" s="398"/>
      <c r="Z97" s="398"/>
      <c r="AA97" s="398"/>
      <c r="AB97" s="398"/>
      <c r="AC97" s="398"/>
      <c r="AD97" s="398"/>
      <c r="AE97" s="398"/>
      <c r="BQ97" s="398"/>
      <c r="CI97" s="421" t="str">
        <f>'Koncern BR'!AH56</f>
        <v>Split Minoritet / Majoritet</v>
      </c>
      <c r="CK97" s="398"/>
      <c r="CL97" s="398"/>
      <c r="CM97" s="398"/>
      <c r="CN97" s="398"/>
      <c r="CO97" s="398"/>
      <c r="CP97" s="398"/>
      <c r="CQ97" s="398"/>
      <c r="CR97" s="398"/>
      <c r="CS97" s="398"/>
      <c r="CT97" s="398"/>
      <c r="CU97" s="398"/>
      <c r="CV97" s="398"/>
      <c r="CW97" s="398"/>
      <c r="CX97" s="398"/>
      <c r="CY97" s="398"/>
      <c r="CZ97" s="398"/>
      <c r="DA97" s="398"/>
      <c r="DB97" s="398"/>
      <c r="DC97" s="398"/>
      <c r="DD97" s="398"/>
      <c r="DE97" s="398"/>
      <c r="DF97" s="398"/>
      <c r="DG97" s="398"/>
      <c r="DH97" s="398"/>
      <c r="DI97" s="398"/>
      <c r="DJ97" s="398"/>
      <c r="DL97" s="398"/>
      <c r="DM97" s="398"/>
      <c r="DN97" s="398"/>
      <c r="DO97" s="398"/>
      <c r="DP97" s="398"/>
      <c r="DQ97" s="398"/>
      <c r="DR97" s="398"/>
      <c r="DS97" s="398"/>
      <c r="DT97" s="398"/>
      <c r="DU97" s="398"/>
      <c r="DV97" s="398"/>
      <c r="DW97" s="398"/>
      <c r="DX97" s="398"/>
      <c r="GU97" s="417" t="s">
        <v>423</v>
      </c>
      <c r="GW97" s="1069">
        <f t="shared" ref="GW97:HO97" si="624">SUM(GW94:GW96)</f>
        <v>15.299999999999983</v>
      </c>
      <c r="GX97" s="1069">
        <f t="shared" si="624"/>
        <v>-2.7999999999999829</v>
      </c>
      <c r="GY97" s="1069">
        <f t="shared" si="624"/>
        <v>81.200000000000017</v>
      </c>
      <c r="GZ97" s="1069">
        <f t="shared" si="624"/>
        <v>56.599999999999994</v>
      </c>
      <c r="HA97" s="1069">
        <f t="shared" si="624"/>
        <v>66.599999999999994</v>
      </c>
      <c r="HB97" s="1069">
        <f t="shared" si="624"/>
        <v>116</v>
      </c>
      <c r="HC97" s="1069">
        <f t="shared" si="624"/>
        <v>141.89999999999998</v>
      </c>
      <c r="HD97" s="1069">
        <f t="shared" si="624"/>
        <v>173.8</v>
      </c>
      <c r="HE97" s="1069">
        <f t="shared" si="624"/>
        <v>152.69999999999999</v>
      </c>
      <c r="HF97" s="1069">
        <f t="shared" si="624"/>
        <v>104.1</v>
      </c>
      <c r="HG97" s="1069">
        <f t="shared" si="624"/>
        <v>0</v>
      </c>
      <c r="HH97" s="1069">
        <f t="shared" si="624"/>
        <v>0</v>
      </c>
      <c r="HJ97" s="1069">
        <f t="shared" si="624"/>
        <v>104.1</v>
      </c>
      <c r="HK97" s="1069">
        <f t="shared" si="624"/>
        <v>116</v>
      </c>
      <c r="HL97" s="1069">
        <f t="shared" si="624"/>
        <v>104.1</v>
      </c>
      <c r="HM97" s="1069">
        <f t="shared" si="624"/>
        <v>116</v>
      </c>
      <c r="HN97" s="1069">
        <f t="shared" si="624"/>
        <v>104.1</v>
      </c>
      <c r="HO97" s="1069">
        <f t="shared" si="624"/>
        <v>173.8</v>
      </c>
      <c r="HP97" s="2002"/>
      <c r="HZ97" s="210"/>
      <c r="IB97" s="398"/>
      <c r="IC97" s="398"/>
      <c r="ID97" s="398"/>
      <c r="IE97" s="398"/>
      <c r="IF97" s="398"/>
      <c r="IG97" s="398"/>
      <c r="JG97" s="402"/>
      <c r="JH97" s="402"/>
      <c r="JI97" s="402"/>
      <c r="JN97" s="402"/>
      <c r="JO97" s="402"/>
      <c r="JP97" s="402"/>
    </row>
    <row r="98" spans="1:276" s="396" customFormat="1" ht="15" customHeight="1" x14ac:dyDescent="0.15">
      <c r="T98" s="398"/>
      <c r="U98" s="398"/>
      <c r="V98" s="398"/>
      <c r="W98" s="398"/>
      <c r="X98" s="398"/>
      <c r="Y98" s="398"/>
      <c r="Z98" s="398"/>
      <c r="AA98" s="398"/>
      <c r="AB98" s="398"/>
      <c r="AC98" s="398"/>
      <c r="AD98" s="398"/>
      <c r="AE98" s="398"/>
      <c r="BQ98" s="398"/>
      <c r="CI98" s="400"/>
      <c r="CJ98" s="400"/>
      <c r="CK98" s="422" t="str">
        <f t="shared" ref="CK98" si="625">BQ$10</f>
        <v>QTD</v>
      </c>
      <c r="CL98" s="422" t="str">
        <f t="shared" ref="CL98" si="626">BR$10</f>
        <v>QTD</v>
      </c>
      <c r="CM98" s="422" t="str">
        <f t="shared" ref="CM98" si="627">BS$10</f>
        <v>QTD</v>
      </c>
      <c r="CN98" s="422" t="str">
        <f t="shared" ref="CN98" si="628">BT$10</f>
        <v>QTD</v>
      </c>
      <c r="CO98" s="422" t="str">
        <f t="shared" ref="CO98" si="629">BU$10</f>
        <v>QTD</v>
      </c>
      <c r="CP98" s="422" t="str">
        <f t="shared" ref="CP98" si="630">BV$10</f>
        <v>QTD</v>
      </c>
      <c r="CQ98" s="422" t="str">
        <f t="shared" ref="CQ98" si="631">BW$10</f>
        <v>QTD</v>
      </c>
      <c r="CR98" s="422" t="str">
        <f t="shared" ref="CR98" si="632">BX$10</f>
        <v>QTD</v>
      </c>
      <c r="CS98" s="422" t="str">
        <f t="shared" ref="CS98" si="633">BY$10</f>
        <v>QTD</v>
      </c>
      <c r="CT98" s="422" t="str">
        <f t="shared" ref="CT98" si="634">BZ$10</f>
        <v>QTD</v>
      </c>
      <c r="CU98" s="422" t="str">
        <f t="shared" ref="CU98" si="635">CA$10</f>
        <v>QTD</v>
      </c>
      <c r="CV98" s="422" t="str">
        <f t="shared" ref="CV98" si="636">CB$10</f>
        <v>QTD</v>
      </c>
      <c r="CW98" s="398"/>
      <c r="CX98" s="398"/>
      <c r="CY98" s="398"/>
      <c r="CZ98" s="398"/>
      <c r="DA98" s="398"/>
      <c r="DB98" s="398"/>
      <c r="DC98" s="398"/>
      <c r="DD98" s="398"/>
      <c r="DE98" s="398"/>
      <c r="DF98" s="398"/>
      <c r="DG98" s="398"/>
      <c r="DH98" s="398"/>
      <c r="DI98" s="398"/>
      <c r="DJ98" s="398"/>
      <c r="DL98" s="398"/>
      <c r="DM98" s="398"/>
      <c r="DN98" s="398"/>
      <c r="DO98" s="398"/>
      <c r="DP98" s="398"/>
      <c r="DQ98" s="398"/>
      <c r="DR98" s="398"/>
      <c r="DS98" s="398"/>
      <c r="DT98" s="398"/>
      <c r="DU98" s="398"/>
      <c r="DV98" s="398"/>
      <c r="DW98" s="398"/>
      <c r="DX98" s="398"/>
      <c r="HP98" s="2005"/>
      <c r="HZ98" s="210"/>
      <c r="IB98" s="398"/>
      <c r="IC98" s="398"/>
      <c r="ID98" s="398"/>
      <c r="IE98" s="398"/>
      <c r="IF98" s="398"/>
      <c r="IG98" s="398"/>
      <c r="JG98" s="402"/>
      <c r="JH98" s="402"/>
      <c r="JI98" s="402"/>
      <c r="JN98" s="402"/>
      <c r="JO98" s="402"/>
      <c r="JP98" s="402"/>
    </row>
    <row r="99" spans="1:276" s="396" customFormat="1" ht="9" x14ac:dyDescent="0.15">
      <c r="T99" s="398"/>
      <c r="U99" s="398"/>
      <c r="V99" s="398"/>
      <c r="W99" s="398"/>
      <c r="X99" s="398"/>
      <c r="Y99" s="398"/>
      <c r="Z99" s="398"/>
      <c r="AA99" s="398"/>
      <c r="AB99" s="398"/>
      <c r="AC99" s="398"/>
      <c r="AD99" s="398"/>
      <c r="AE99" s="398"/>
      <c r="BQ99" s="398"/>
      <c r="CI99" s="422"/>
      <c r="CJ99" s="422"/>
      <c r="CK99" s="214">
        <f t="shared" ref="CK99:CV99" si="637">CK$84</f>
        <v>2403</v>
      </c>
      <c r="CL99" s="214">
        <f t="shared" si="637"/>
        <v>2406</v>
      </c>
      <c r="CM99" s="214">
        <f t="shared" si="637"/>
        <v>2409</v>
      </c>
      <c r="CN99" s="214">
        <f t="shared" si="637"/>
        <v>2412</v>
      </c>
      <c r="CO99" s="214">
        <f t="shared" si="637"/>
        <v>2503</v>
      </c>
      <c r="CP99" s="214">
        <f t="shared" si="637"/>
        <v>2506</v>
      </c>
      <c r="CQ99" s="214">
        <f t="shared" si="637"/>
        <v>2509</v>
      </c>
      <c r="CR99" s="214">
        <f t="shared" si="637"/>
        <v>2512</v>
      </c>
      <c r="CS99" s="214">
        <f t="shared" si="637"/>
        <v>2603</v>
      </c>
      <c r="CT99" s="1124">
        <f t="shared" si="637"/>
        <v>2606</v>
      </c>
      <c r="CU99" s="1124">
        <f t="shared" si="637"/>
        <v>2609</v>
      </c>
      <c r="CV99" s="1124">
        <f t="shared" si="637"/>
        <v>2612</v>
      </c>
      <c r="CW99" s="398"/>
      <c r="CX99" s="398"/>
      <c r="CY99" s="398"/>
      <c r="CZ99" s="398"/>
      <c r="DA99" s="398"/>
      <c r="DB99" s="398"/>
      <c r="DC99" s="398"/>
      <c r="DD99" s="398"/>
      <c r="DE99" s="398"/>
      <c r="DF99" s="398"/>
      <c r="DG99" s="398"/>
      <c r="DH99" s="398"/>
      <c r="DI99" s="398"/>
      <c r="DJ99" s="398"/>
      <c r="DL99" s="398"/>
      <c r="DM99" s="398"/>
      <c r="DN99" s="398"/>
      <c r="DO99" s="398"/>
      <c r="DP99" s="398"/>
      <c r="DQ99" s="398"/>
      <c r="DR99" s="398"/>
      <c r="DS99" s="398"/>
      <c r="DT99" s="398"/>
      <c r="DU99" s="398"/>
      <c r="DV99" s="398"/>
      <c r="DW99" s="398"/>
      <c r="DX99" s="398"/>
      <c r="HP99" s="2005"/>
      <c r="HZ99" s="210"/>
      <c r="IB99" s="398"/>
      <c r="IC99" s="398"/>
      <c r="ID99" s="398"/>
      <c r="IE99" s="398"/>
      <c r="IF99" s="398"/>
      <c r="IG99" s="398"/>
      <c r="JG99" s="402"/>
      <c r="JH99" s="402"/>
      <c r="JI99" s="402"/>
      <c r="JN99" s="402"/>
      <c r="JO99" s="402"/>
      <c r="JP99" s="402"/>
    </row>
    <row r="100" spans="1:276" s="396" customFormat="1" ht="9" x14ac:dyDescent="0.15">
      <c r="T100" s="398"/>
      <c r="U100" s="398"/>
      <c r="V100" s="398"/>
      <c r="W100" s="398"/>
      <c r="X100" s="398"/>
      <c r="Y100" s="398"/>
      <c r="Z100" s="398"/>
      <c r="AA100" s="398"/>
      <c r="AB100" s="398"/>
      <c r="AC100" s="398"/>
      <c r="AD100" s="398"/>
      <c r="AE100" s="398"/>
      <c r="BQ100" s="398"/>
      <c r="CI100" s="425" t="str">
        <f>'Koncern BR'!AH58</f>
        <v>MBs aktieägare</v>
      </c>
      <c r="CJ100" s="426"/>
      <c r="CK100" s="1372">
        <f t="shared" ref="CK100:CV101" si="638">T71</f>
        <v>0.9236363636363637</v>
      </c>
      <c r="CL100" s="1372">
        <f t="shared" si="638"/>
        <v>0.94711538461538514</v>
      </c>
      <c r="CM100" s="1372">
        <f t="shared" si="638"/>
        <v>0.88829787234042301</v>
      </c>
      <c r="CN100" s="1372">
        <f t="shared" si="638"/>
        <v>1.0000000000000011</v>
      </c>
      <c r="CO100" s="1372">
        <f t="shared" si="638"/>
        <v>0.96313364055299444</v>
      </c>
      <c r="CP100" s="1372">
        <f t="shared" si="638"/>
        <v>0.92265193370165677</v>
      </c>
      <c r="CQ100" s="1372">
        <f t="shared" si="638"/>
        <v>0.95480225988700662</v>
      </c>
      <c r="CR100" s="1372">
        <f t="shared" si="638"/>
        <v>1.7272727272727904</v>
      </c>
      <c r="CS100" s="1372">
        <f t="shared" si="638"/>
        <v>0.9676470588235293</v>
      </c>
      <c r="CT100" s="1372">
        <f t="shared" si="638"/>
        <v>0.97857142857142843</v>
      </c>
      <c r="CU100" s="1372">
        <f t="shared" si="638"/>
        <v>1.0483870967741926</v>
      </c>
      <c r="CV100" s="1372">
        <f t="shared" si="638"/>
        <v>1.7272727272727904</v>
      </c>
      <c r="CW100" s="398"/>
      <c r="CX100" s="398"/>
      <c r="CY100" s="1016"/>
      <c r="CZ100" s="1016"/>
      <c r="DA100" s="1016"/>
      <c r="DB100" s="1016"/>
      <c r="DC100" s="1016"/>
      <c r="DD100" s="1016"/>
      <c r="DE100" s="1016"/>
      <c r="DF100" s="1016"/>
      <c r="DG100" s="1016"/>
      <c r="DH100" s="1016"/>
      <c r="DI100" s="1016"/>
      <c r="DJ100" s="398"/>
      <c r="DL100" s="398"/>
      <c r="DM100" s="398"/>
      <c r="DN100" s="398"/>
      <c r="DO100" s="398"/>
      <c r="DP100" s="398"/>
      <c r="DQ100" s="398"/>
      <c r="DR100" s="398"/>
      <c r="DS100" s="398"/>
      <c r="DT100" s="398"/>
      <c r="DU100" s="398"/>
      <c r="DV100" s="398"/>
      <c r="DW100" s="398"/>
      <c r="DX100" s="398"/>
      <c r="HP100" s="2005"/>
      <c r="HZ100" s="210"/>
      <c r="IB100" s="398"/>
      <c r="IC100" s="398"/>
      <c r="ID100" s="398"/>
      <c r="IE100" s="398"/>
      <c r="IF100" s="398"/>
      <c r="IG100" s="398"/>
      <c r="JG100" s="402"/>
      <c r="JH100" s="402"/>
      <c r="JI100" s="402"/>
      <c r="JN100" s="402"/>
      <c r="JO100" s="402"/>
      <c r="JP100" s="402"/>
    </row>
    <row r="101" spans="1:276" s="396" customFormat="1" ht="9" x14ac:dyDescent="0.15">
      <c r="T101" s="398"/>
      <c r="U101" s="398"/>
      <c r="V101" s="398"/>
      <c r="W101" s="398"/>
      <c r="X101" s="398"/>
      <c r="Y101" s="398"/>
      <c r="Z101" s="398"/>
      <c r="AA101" s="398"/>
      <c r="AB101" s="398"/>
      <c r="AC101" s="398"/>
      <c r="AD101" s="398"/>
      <c r="AE101" s="398"/>
      <c r="BQ101" s="398"/>
      <c r="CI101" s="425" t="str">
        <f>'Koncern BR'!AH59</f>
        <v>Innehav utan bestämmande inflytande</v>
      </c>
      <c r="CJ101" s="426"/>
      <c r="CK101" s="1372">
        <f t="shared" si="638"/>
        <v>7.6363636363636245E-2</v>
      </c>
      <c r="CL101" s="1372">
        <f t="shared" si="638"/>
        <v>5.2884615384615315E-2</v>
      </c>
      <c r="CM101" s="1372">
        <f t="shared" si="638"/>
        <v>0.11170212765957559</v>
      </c>
      <c r="CN101" s="1372">
        <f t="shared" si="638"/>
        <v>0</v>
      </c>
      <c r="CO101" s="1372">
        <f t="shared" si="638"/>
        <v>3.6866359447004518E-2</v>
      </c>
      <c r="CP101" s="1372">
        <f t="shared" si="638"/>
        <v>7.7348066298343149E-2</v>
      </c>
      <c r="CQ101" s="1372">
        <f t="shared" si="638"/>
        <v>4.5197740112994107E-2</v>
      </c>
      <c r="CR101" s="1372">
        <f t="shared" si="638"/>
        <v>-0.72727272727278958</v>
      </c>
      <c r="CS101" s="1372">
        <f t="shared" si="638"/>
        <v>3.2352941176470605E-2</v>
      </c>
      <c r="CT101" s="1372">
        <f t="shared" si="638"/>
        <v>2.1428571428571408E-2</v>
      </c>
      <c r="CU101" s="1372">
        <f t="shared" si="638"/>
        <v>-4.8387096774193443E-2</v>
      </c>
      <c r="CV101" s="1372">
        <f t="shared" si="638"/>
        <v>-0.72727272727278958</v>
      </c>
      <c r="CW101" s="398"/>
      <c r="CX101" s="398"/>
      <c r="CY101" s="1016"/>
      <c r="CZ101" s="1016"/>
      <c r="DA101" s="1016"/>
      <c r="DB101" s="1016"/>
      <c r="DC101" s="1016"/>
      <c r="DD101" s="1016"/>
      <c r="DE101" s="1016"/>
      <c r="DF101" s="1016"/>
      <c r="DG101" s="1016"/>
      <c r="DH101" s="1016"/>
      <c r="DI101" s="1016"/>
      <c r="DJ101" s="398"/>
      <c r="HP101" s="2005"/>
      <c r="HZ101" s="210"/>
      <c r="IB101" s="398"/>
      <c r="IC101" s="398"/>
      <c r="ID101" s="398"/>
      <c r="IE101" s="398"/>
      <c r="IF101" s="398"/>
      <c r="IG101" s="398"/>
      <c r="JG101" s="402"/>
      <c r="JH101" s="402"/>
      <c r="JI101" s="402"/>
      <c r="JN101" s="402"/>
      <c r="JO101" s="402"/>
      <c r="JP101" s="402"/>
    </row>
    <row r="102" spans="1:276" s="396" customFormat="1" ht="9" x14ac:dyDescent="0.15">
      <c r="T102" s="398"/>
      <c r="U102" s="398"/>
      <c r="V102" s="398"/>
      <c r="W102" s="398"/>
      <c r="X102" s="398"/>
      <c r="Y102" s="398"/>
      <c r="Z102" s="398"/>
      <c r="AA102" s="398"/>
      <c r="AB102" s="398"/>
      <c r="AC102" s="398"/>
      <c r="AD102" s="398"/>
      <c r="AE102" s="398"/>
      <c r="BQ102" s="398"/>
      <c r="CI102" s="427" t="str">
        <f>'Koncern BR'!AH60</f>
        <v>Total</v>
      </c>
      <c r="CJ102" s="428"/>
      <c r="CK102" s="1373">
        <f>SUM(CK100:CK101)</f>
        <v>1</v>
      </c>
      <c r="CL102" s="1373">
        <f t="shared" ref="CL102:CV102" si="639">SUM(CL100:CL101)</f>
        <v>1.0000000000000004</v>
      </c>
      <c r="CM102" s="1373">
        <f t="shared" si="639"/>
        <v>0.99999999999999856</v>
      </c>
      <c r="CN102" s="1373">
        <f t="shared" si="639"/>
        <v>1.0000000000000011</v>
      </c>
      <c r="CO102" s="1373">
        <f t="shared" si="639"/>
        <v>0.999999999999999</v>
      </c>
      <c r="CP102" s="1373">
        <f t="shared" si="639"/>
        <v>0.99999999999999989</v>
      </c>
      <c r="CQ102" s="1373">
        <f t="shared" si="639"/>
        <v>1.0000000000000007</v>
      </c>
      <c r="CR102" s="1373">
        <f t="shared" si="639"/>
        <v>1.0000000000000009</v>
      </c>
      <c r="CS102" s="1373">
        <f t="shared" si="639"/>
        <v>0.99999999999999989</v>
      </c>
      <c r="CT102" s="1373">
        <f t="shared" si="639"/>
        <v>0.99999999999999978</v>
      </c>
      <c r="CU102" s="1373">
        <f t="shared" si="639"/>
        <v>0.99999999999999922</v>
      </c>
      <c r="CV102" s="1373">
        <f t="shared" si="639"/>
        <v>1.0000000000000009</v>
      </c>
      <c r="CW102" s="398"/>
      <c r="CX102" s="398"/>
      <c r="CY102" s="1016"/>
      <c r="CZ102" s="1016"/>
      <c r="DA102" s="1016"/>
      <c r="DB102" s="1016"/>
      <c r="DC102" s="1016"/>
      <c r="DD102" s="1016"/>
      <c r="DE102" s="1016"/>
      <c r="DF102" s="1016"/>
      <c r="DG102" s="1016"/>
      <c r="DH102" s="1016"/>
      <c r="DI102" s="1016"/>
      <c r="HP102" s="2005"/>
      <c r="HZ102" s="210"/>
      <c r="IB102" s="398"/>
      <c r="IC102" s="398"/>
      <c r="ID102" s="398"/>
      <c r="IE102" s="398"/>
      <c r="IF102" s="398"/>
      <c r="IG102" s="398"/>
      <c r="JG102" s="402"/>
      <c r="JH102" s="402"/>
      <c r="JI102" s="402"/>
      <c r="JN102" s="402"/>
      <c r="JO102" s="402"/>
      <c r="JP102" s="402"/>
    </row>
    <row r="103" spans="1:276" s="396" customFormat="1" ht="9" x14ac:dyDescent="0.15">
      <c r="T103" s="398"/>
      <c r="U103" s="398"/>
      <c r="V103" s="398"/>
      <c r="W103" s="398"/>
      <c r="X103" s="398"/>
      <c r="Y103" s="398"/>
      <c r="Z103" s="398"/>
      <c r="AA103" s="398"/>
      <c r="AB103" s="398"/>
      <c r="AC103" s="398"/>
      <c r="AD103" s="398"/>
      <c r="AE103" s="398"/>
      <c r="BQ103" s="398"/>
      <c r="CK103" s="398"/>
      <c r="CL103" s="398"/>
      <c r="CM103" s="398"/>
      <c r="CN103" s="398"/>
      <c r="CO103" s="398"/>
      <c r="CP103" s="398"/>
      <c r="CQ103" s="398"/>
      <c r="CR103" s="398"/>
      <c r="CS103" s="398"/>
      <c r="CT103" s="398"/>
      <c r="CU103" s="398"/>
      <c r="CV103" s="398"/>
      <c r="CW103" s="398"/>
      <c r="CX103" s="398"/>
      <c r="CY103" s="1016"/>
      <c r="CZ103" s="1016"/>
      <c r="DA103" s="1016"/>
      <c r="DB103" s="1016"/>
      <c r="DC103" s="1016"/>
      <c r="DD103" s="1016"/>
      <c r="DE103" s="1016"/>
      <c r="DF103" s="1016"/>
      <c r="DG103" s="1016"/>
      <c r="DH103" s="1016"/>
      <c r="DI103" s="1016"/>
      <c r="HP103" s="2005"/>
      <c r="HZ103" s="210"/>
      <c r="IB103" s="398"/>
      <c r="IC103" s="398"/>
      <c r="ID103" s="398"/>
      <c r="IE103" s="398"/>
      <c r="IF103" s="398"/>
      <c r="IG103" s="398"/>
      <c r="JG103" s="402"/>
      <c r="JH103" s="402"/>
      <c r="JI103" s="402"/>
      <c r="JN103" s="402"/>
      <c r="JO103" s="402"/>
      <c r="JP103" s="402"/>
    </row>
    <row r="104" spans="1:276" s="433" customFormat="1" x14ac:dyDescent="0.2">
      <c r="A104" s="396"/>
      <c r="B104" s="396"/>
      <c r="C104" s="396"/>
      <c r="D104" s="396"/>
      <c r="E104" s="396"/>
      <c r="F104" s="396"/>
      <c r="G104" s="396"/>
      <c r="H104" s="396"/>
      <c r="I104" s="396"/>
      <c r="J104" s="396"/>
      <c r="K104" s="396"/>
      <c r="L104" s="396"/>
      <c r="M104" s="396"/>
      <c r="N104" s="396"/>
      <c r="O104" s="396"/>
      <c r="P104" s="396"/>
      <c r="Q104" s="396"/>
      <c r="R104" s="396"/>
      <c r="S104" s="396"/>
      <c r="T104" s="398"/>
      <c r="U104" s="398"/>
      <c r="V104" s="398"/>
      <c r="W104" s="398"/>
      <c r="X104" s="398"/>
      <c r="Y104" s="398"/>
      <c r="Z104" s="398"/>
      <c r="AA104" s="398"/>
      <c r="AB104" s="398"/>
      <c r="AC104" s="398"/>
      <c r="AD104" s="398"/>
      <c r="AE104" s="398"/>
      <c r="AF104" s="396"/>
      <c r="AG104" s="396"/>
      <c r="AH104" s="396"/>
      <c r="AI104" s="396"/>
      <c r="AJ104" s="396"/>
      <c r="AK104" s="396"/>
      <c r="AL104" s="396"/>
      <c r="AM104" s="396"/>
      <c r="AN104" s="396"/>
      <c r="AO104" s="396"/>
      <c r="AP104" s="396"/>
      <c r="AQ104" s="396"/>
      <c r="AR104" s="396"/>
      <c r="AS104" s="396"/>
      <c r="AT104" s="396"/>
      <c r="AU104" s="396"/>
      <c r="AV104" s="396"/>
      <c r="AW104" s="396"/>
      <c r="AX104" s="396"/>
      <c r="AY104" s="396"/>
      <c r="AZ104" s="396"/>
      <c r="BA104" s="396"/>
      <c r="BB104" s="396"/>
      <c r="BC104" s="396"/>
      <c r="BD104" s="396"/>
      <c r="BE104" s="396"/>
      <c r="BF104" s="396"/>
      <c r="BG104" s="396"/>
      <c r="BH104" s="396"/>
      <c r="BI104" s="396"/>
      <c r="BJ104" s="396"/>
      <c r="BK104" s="396"/>
      <c r="BL104" s="396"/>
      <c r="BM104" s="396"/>
      <c r="BN104" s="396"/>
      <c r="BO104" s="396"/>
      <c r="BP104" s="396"/>
      <c r="BQ104" s="398"/>
      <c r="BR104" s="396"/>
      <c r="BS104" s="396"/>
      <c r="BT104" s="396"/>
      <c r="BU104" s="396"/>
      <c r="BV104" s="396"/>
      <c r="BW104" s="396"/>
      <c r="BX104" s="396"/>
      <c r="BY104" s="396"/>
      <c r="BZ104" s="396"/>
      <c r="CA104" s="396"/>
      <c r="CB104" s="396"/>
      <c r="CC104" s="396"/>
      <c r="CD104" s="396"/>
      <c r="CE104" s="396"/>
      <c r="CF104" s="396"/>
      <c r="CG104" s="396"/>
      <c r="CH104" s="396"/>
      <c r="CI104" s="396"/>
      <c r="CJ104" s="396"/>
      <c r="CK104" s="398"/>
      <c r="CL104" s="398"/>
      <c r="CM104" s="398"/>
      <c r="CN104" s="398"/>
      <c r="CO104" s="398"/>
      <c r="CP104" s="398"/>
      <c r="CQ104" s="398"/>
      <c r="CR104" s="398"/>
      <c r="CS104" s="398"/>
      <c r="CT104" s="398"/>
      <c r="CU104" s="398"/>
      <c r="CV104" s="398"/>
      <c r="CW104" s="398"/>
      <c r="CX104" s="398"/>
      <c r="CY104" s="398"/>
      <c r="CZ104" s="398"/>
      <c r="DA104" s="398"/>
      <c r="DB104" s="398"/>
      <c r="DC104" s="398"/>
      <c r="DD104" s="398"/>
      <c r="DE104" s="398"/>
      <c r="DF104" s="398"/>
      <c r="DG104" s="398"/>
      <c r="DH104" s="398"/>
      <c r="DI104" s="398"/>
      <c r="DJ104" s="396"/>
      <c r="DK104" s="396"/>
      <c r="DL104" s="396"/>
      <c r="DM104" s="396"/>
      <c r="DN104" s="396"/>
      <c r="DO104" s="396"/>
      <c r="DP104" s="396"/>
      <c r="DQ104" s="396"/>
      <c r="DR104" s="396"/>
      <c r="DS104" s="396"/>
      <c r="DT104" s="396"/>
      <c r="DU104" s="396"/>
      <c r="DV104" s="396"/>
      <c r="DW104" s="396"/>
      <c r="DX104" s="396"/>
      <c r="DY104" s="396"/>
      <c r="DZ104" s="396"/>
      <c r="EA104" s="396"/>
      <c r="EB104" s="396"/>
      <c r="EC104" s="396"/>
      <c r="ED104" s="396"/>
      <c r="EE104" s="396"/>
      <c r="EF104" s="396"/>
      <c r="EG104" s="396"/>
      <c r="EH104" s="396"/>
      <c r="EI104" s="396"/>
      <c r="EJ104" s="396"/>
      <c r="EK104" s="396"/>
      <c r="EL104" s="396"/>
      <c r="EM104" s="396"/>
      <c r="EN104" s="396"/>
      <c r="EO104" s="396"/>
      <c r="EP104" s="396"/>
      <c r="EQ104" s="396"/>
      <c r="ER104" s="396"/>
      <c r="ES104" s="396"/>
      <c r="ET104" s="396"/>
      <c r="EU104" s="396"/>
      <c r="EV104" s="396"/>
      <c r="EW104" s="396"/>
      <c r="EX104" s="396"/>
      <c r="EY104" s="396"/>
      <c r="EZ104" s="396"/>
      <c r="FA104" s="396"/>
      <c r="FB104" s="396"/>
      <c r="FC104" s="396"/>
      <c r="FD104" s="396"/>
      <c r="FE104" s="396"/>
      <c r="FF104" s="396"/>
      <c r="FG104" s="396"/>
      <c r="FH104" s="396"/>
      <c r="FI104" s="396"/>
      <c r="FJ104" s="396"/>
      <c r="FK104" s="396"/>
      <c r="FL104" s="396"/>
      <c r="FM104" s="396"/>
      <c r="GS104" s="396"/>
      <c r="GT104" s="396"/>
      <c r="GU104" s="396"/>
      <c r="GV104" s="396"/>
      <c r="GW104" s="396"/>
      <c r="GX104" s="396"/>
      <c r="GY104" s="396"/>
      <c r="GZ104" s="396"/>
      <c r="HA104" s="396"/>
      <c r="HB104" s="396"/>
      <c r="HC104" s="396"/>
      <c r="HD104" s="396"/>
      <c r="HE104" s="396"/>
      <c r="HF104" s="396"/>
      <c r="HG104" s="396"/>
      <c r="HH104" s="396"/>
      <c r="HI104" s="396"/>
      <c r="HJ104" s="396"/>
      <c r="HK104" s="396"/>
      <c r="HL104" s="396"/>
      <c r="HM104" s="396"/>
      <c r="HN104" s="396"/>
      <c r="HO104" s="396"/>
      <c r="HP104" s="2005"/>
      <c r="HQ104" s="396"/>
      <c r="HR104" s="396"/>
      <c r="HS104" s="242"/>
      <c r="HT104" s="242"/>
      <c r="HU104" s="242"/>
      <c r="HV104" s="242"/>
      <c r="HW104" s="242"/>
      <c r="HX104" s="242"/>
      <c r="HY104" s="242"/>
      <c r="HZ104" s="210"/>
      <c r="IA104" s="396"/>
      <c r="IB104" s="398"/>
      <c r="IC104" s="398"/>
      <c r="ID104" s="398"/>
      <c r="IE104" s="398"/>
      <c r="IF104" s="398"/>
      <c r="IG104" s="398"/>
      <c r="IH104" s="396"/>
      <c r="II104" s="396"/>
      <c r="JG104" s="432"/>
      <c r="JH104" s="432"/>
      <c r="JI104" s="432"/>
      <c r="JN104" s="432"/>
      <c r="JO104" s="432"/>
      <c r="JP104" s="432"/>
    </row>
    <row r="105" spans="1:276" x14ac:dyDescent="0.2">
      <c r="A105" s="433"/>
      <c r="B105" s="396"/>
      <c r="C105" s="396"/>
      <c r="D105" s="396"/>
      <c r="E105" s="402"/>
      <c r="F105" s="396"/>
      <c r="G105" s="396"/>
      <c r="H105" s="396"/>
      <c r="I105" s="396"/>
      <c r="J105" s="396"/>
      <c r="K105" s="396"/>
      <c r="L105" s="396"/>
      <c r="M105" s="396"/>
      <c r="N105" s="396"/>
      <c r="O105" s="396"/>
      <c r="P105" s="396"/>
      <c r="Q105" s="396"/>
      <c r="R105" s="396"/>
      <c r="S105" s="396"/>
      <c r="T105" s="398"/>
      <c r="U105" s="398"/>
      <c r="V105" s="398"/>
      <c r="W105" s="398"/>
      <c r="X105" s="398"/>
      <c r="Y105" s="398"/>
      <c r="Z105" s="398"/>
      <c r="AA105" s="398"/>
      <c r="AB105" s="398"/>
      <c r="AC105" s="398"/>
      <c r="AD105" s="398"/>
      <c r="AE105" s="398"/>
      <c r="AF105" s="396"/>
      <c r="AG105" s="396"/>
      <c r="AH105" s="396"/>
      <c r="AI105" s="396"/>
      <c r="AJ105" s="396"/>
      <c r="AK105" s="396"/>
      <c r="AL105" s="396"/>
      <c r="AM105" s="396"/>
      <c r="AN105" s="396"/>
      <c r="AO105" s="396"/>
      <c r="AP105" s="396"/>
      <c r="AQ105" s="396"/>
      <c r="AR105" s="396"/>
      <c r="AS105" s="396"/>
      <c r="AT105" s="396"/>
      <c r="AU105" s="396"/>
      <c r="AV105" s="396"/>
      <c r="AW105" s="396"/>
      <c r="AX105" s="396"/>
      <c r="AY105" s="396"/>
      <c r="AZ105" s="396"/>
      <c r="BA105" s="396"/>
      <c r="BB105" s="396"/>
      <c r="BC105" s="396"/>
      <c r="BD105" s="396"/>
      <c r="BE105" s="396"/>
      <c r="BF105" s="396"/>
      <c r="BG105" s="396"/>
      <c r="BH105" s="396"/>
      <c r="BI105" s="396"/>
      <c r="BJ105" s="396"/>
      <c r="BK105" s="396"/>
      <c r="BL105" s="396"/>
      <c r="BM105" s="396"/>
      <c r="BN105" s="396"/>
      <c r="BO105" s="396"/>
      <c r="BP105" s="396"/>
      <c r="BQ105" s="398"/>
      <c r="BR105" s="396"/>
      <c r="BS105" s="396"/>
      <c r="BT105" s="396"/>
      <c r="BU105" s="396"/>
      <c r="BV105" s="396"/>
      <c r="BW105" s="396"/>
      <c r="BX105" s="396"/>
      <c r="BY105" s="396"/>
      <c r="BZ105" s="396"/>
      <c r="CA105" s="396"/>
      <c r="CB105" s="396"/>
      <c r="CC105" s="396"/>
      <c r="CD105" s="396"/>
      <c r="CE105" s="396"/>
      <c r="CF105" s="396"/>
      <c r="CG105" s="396"/>
      <c r="CH105" s="396"/>
      <c r="CI105" s="400"/>
      <c r="CJ105" s="400"/>
      <c r="CK105" s="400" t="str">
        <f t="shared" ref="CK105:CV105" si="640">BQ$10</f>
        <v>QTD</v>
      </c>
      <c r="CL105" s="400" t="str">
        <f t="shared" si="640"/>
        <v>QTD</v>
      </c>
      <c r="CM105" s="400" t="str">
        <f t="shared" si="640"/>
        <v>QTD</v>
      </c>
      <c r="CN105" s="400" t="str">
        <f t="shared" si="640"/>
        <v>QTD</v>
      </c>
      <c r="CO105" s="400" t="str">
        <f t="shared" si="640"/>
        <v>QTD</v>
      </c>
      <c r="CP105" s="400" t="str">
        <f t="shared" si="640"/>
        <v>QTD</v>
      </c>
      <c r="CQ105" s="400" t="str">
        <f t="shared" si="640"/>
        <v>QTD</v>
      </c>
      <c r="CR105" s="400" t="str">
        <f t="shared" si="640"/>
        <v>QTD</v>
      </c>
      <c r="CS105" s="400" t="str">
        <f t="shared" si="640"/>
        <v>QTD</v>
      </c>
      <c r="CT105" s="400" t="str">
        <f t="shared" si="640"/>
        <v>QTD</v>
      </c>
      <c r="CU105" s="400" t="str">
        <f t="shared" si="640"/>
        <v>QTD</v>
      </c>
      <c r="CV105" s="400" t="str">
        <f t="shared" si="640"/>
        <v>QTD</v>
      </c>
      <c r="CW105" s="398"/>
      <c r="CX105" s="398"/>
      <c r="CY105" s="398"/>
      <c r="CZ105" s="398"/>
      <c r="DA105" s="398"/>
      <c r="DB105" s="398"/>
      <c r="DC105" s="398"/>
      <c r="DD105" s="398"/>
      <c r="DE105" s="398"/>
      <c r="DF105" s="398"/>
      <c r="DG105" s="398"/>
      <c r="DH105" s="398"/>
      <c r="DI105" s="398"/>
      <c r="DJ105" s="396"/>
      <c r="DK105" s="396"/>
      <c r="DL105" s="396"/>
      <c r="DM105" s="396"/>
      <c r="DN105" s="396"/>
      <c r="DO105" s="396"/>
      <c r="DP105" s="396"/>
      <c r="DQ105" s="396"/>
      <c r="DR105" s="396"/>
      <c r="DS105" s="396"/>
      <c r="DT105" s="396"/>
      <c r="DU105" s="396"/>
      <c r="DV105" s="396"/>
      <c r="DW105" s="396"/>
      <c r="DX105" s="396"/>
      <c r="DY105" s="396"/>
      <c r="DZ105" s="396"/>
      <c r="EA105" s="396"/>
      <c r="EB105" s="396"/>
      <c r="EC105" s="396"/>
      <c r="ED105" s="396"/>
      <c r="EE105" s="396"/>
      <c r="EF105" s="396"/>
      <c r="EG105" s="396"/>
      <c r="EH105" s="396"/>
      <c r="EI105" s="396"/>
      <c r="EJ105" s="396"/>
      <c r="EK105" s="396"/>
      <c r="EL105" s="396"/>
      <c r="EM105" s="396"/>
      <c r="EN105" s="396"/>
      <c r="EO105" s="396"/>
      <c r="EP105" s="396"/>
      <c r="EQ105" s="396"/>
      <c r="ER105" s="396"/>
      <c r="ES105" s="396"/>
      <c r="ET105" s="396"/>
      <c r="EU105" s="396"/>
      <c r="EV105" s="396"/>
      <c r="EW105" s="396"/>
      <c r="EX105" s="396"/>
      <c r="EY105" s="396"/>
      <c r="EZ105" s="396"/>
      <c r="FA105" s="396"/>
      <c r="FB105" s="396"/>
      <c r="FC105" s="396"/>
      <c r="FD105" s="396"/>
      <c r="FE105" s="396"/>
      <c r="FF105" s="396"/>
      <c r="FG105" s="396"/>
      <c r="FH105" s="396"/>
      <c r="FI105" s="396"/>
      <c r="FJ105" s="396"/>
      <c r="FK105" s="396"/>
      <c r="FL105" s="396"/>
      <c r="FM105" s="396"/>
      <c r="GS105" s="396"/>
      <c r="GT105" s="396"/>
      <c r="GU105" s="396"/>
      <c r="GV105" s="396"/>
      <c r="GW105" s="396"/>
      <c r="GX105" s="396"/>
      <c r="GY105" s="396"/>
      <c r="GZ105" s="396"/>
      <c r="HA105" s="396"/>
      <c r="HB105" s="396"/>
      <c r="HC105" s="396"/>
      <c r="HD105" s="396"/>
      <c r="HE105" s="396"/>
      <c r="HF105" s="396"/>
      <c r="HG105" s="396"/>
      <c r="HH105" s="396"/>
      <c r="HI105" s="396"/>
      <c r="HJ105" s="396"/>
      <c r="HK105" s="396"/>
      <c r="HL105" s="396"/>
      <c r="HM105" s="396"/>
      <c r="HN105" s="396"/>
      <c r="HO105" s="396"/>
      <c r="HP105" s="2005"/>
      <c r="HQ105" s="396"/>
      <c r="HR105" s="396"/>
      <c r="HZ105" s="210"/>
      <c r="IA105" s="396"/>
      <c r="IB105" s="398"/>
      <c r="IC105" s="398"/>
      <c r="ID105" s="398"/>
      <c r="IE105" s="398"/>
      <c r="IF105" s="398"/>
      <c r="IG105" s="398"/>
      <c r="IH105" s="396"/>
      <c r="II105" s="433"/>
    </row>
    <row r="106" spans="1:276" ht="10.5" customHeight="1" x14ac:dyDescent="0.2">
      <c r="B106" s="396"/>
      <c r="C106" s="396"/>
      <c r="D106" s="396"/>
      <c r="E106" s="402"/>
      <c r="F106" s="396"/>
      <c r="G106" s="396"/>
      <c r="H106" s="396"/>
      <c r="I106" s="396"/>
      <c r="J106" s="396"/>
      <c r="K106" s="396"/>
      <c r="L106" s="396"/>
      <c r="M106" s="396"/>
      <c r="N106" s="396"/>
      <c r="O106" s="396"/>
      <c r="P106" s="396"/>
      <c r="Q106" s="396"/>
      <c r="R106" s="396"/>
      <c r="S106" s="396"/>
      <c r="T106" s="398"/>
      <c r="U106" s="398"/>
      <c r="V106" s="398"/>
      <c r="W106" s="398"/>
      <c r="X106" s="398"/>
      <c r="Y106" s="398"/>
      <c r="Z106" s="398"/>
      <c r="AA106" s="398"/>
      <c r="AB106" s="398"/>
      <c r="AC106" s="398"/>
      <c r="AD106" s="398"/>
      <c r="AE106" s="398"/>
      <c r="AF106" s="396"/>
      <c r="AG106" s="396"/>
      <c r="AH106" s="396"/>
      <c r="AI106" s="396"/>
      <c r="AJ106" s="396"/>
      <c r="AK106" s="396"/>
      <c r="AL106" s="396"/>
      <c r="AM106" s="396"/>
      <c r="AN106" s="396"/>
      <c r="AO106" s="396"/>
      <c r="AP106" s="396"/>
      <c r="AQ106" s="396"/>
      <c r="AR106" s="396"/>
      <c r="AS106" s="396"/>
      <c r="AT106" s="396"/>
      <c r="AU106" s="396"/>
      <c r="AV106" s="396"/>
      <c r="AW106" s="396"/>
      <c r="AX106" s="396"/>
      <c r="AY106" s="396"/>
      <c r="AZ106" s="396"/>
      <c r="BA106" s="396"/>
      <c r="BB106" s="396"/>
      <c r="BC106" s="396"/>
      <c r="BD106" s="433"/>
      <c r="BE106" s="396"/>
      <c r="BF106" s="396"/>
      <c r="BG106" s="396"/>
      <c r="BH106" s="396"/>
      <c r="BI106" s="396"/>
      <c r="BJ106" s="396"/>
      <c r="BK106" s="396"/>
      <c r="BL106" s="396"/>
      <c r="BM106" s="396"/>
      <c r="BN106" s="396"/>
      <c r="BO106" s="396"/>
      <c r="BP106" s="396"/>
      <c r="BQ106" s="398"/>
      <c r="BR106" s="396"/>
      <c r="BS106" s="396"/>
      <c r="BT106" s="396"/>
      <c r="BU106" s="396"/>
      <c r="BV106" s="396"/>
      <c r="BW106" s="396"/>
      <c r="BX106" s="396"/>
      <c r="BY106" s="396"/>
      <c r="BZ106" s="396"/>
      <c r="CA106" s="396"/>
      <c r="CB106" s="396"/>
      <c r="CC106" s="396"/>
      <c r="CD106" s="396"/>
      <c r="CE106" s="396"/>
      <c r="CF106" s="396"/>
      <c r="CG106" s="396"/>
      <c r="CH106" s="396"/>
      <c r="CI106" s="404"/>
      <c r="CJ106" s="404"/>
      <c r="CK106" s="404">
        <f t="shared" ref="CK106:CV106" si="641">BQ$11</f>
        <v>2403</v>
      </c>
      <c r="CL106" s="404">
        <f t="shared" si="641"/>
        <v>2406</v>
      </c>
      <c r="CM106" s="404">
        <f t="shared" si="641"/>
        <v>2409</v>
      </c>
      <c r="CN106" s="404">
        <f t="shared" si="641"/>
        <v>2412</v>
      </c>
      <c r="CO106" s="404">
        <f t="shared" si="641"/>
        <v>2503</v>
      </c>
      <c r="CP106" s="404">
        <f t="shared" si="641"/>
        <v>2506</v>
      </c>
      <c r="CQ106" s="404">
        <f t="shared" si="641"/>
        <v>2509</v>
      </c>
      <c r="CR106" s="404">
        <f t="shared" si="641"/>
        <v>2512</v>
      </c>
      <c r="CS106" s="404">
        <f t="shared" si="641"/>
        <v>2603</v>
      </c>
      <c r="CT106" s="404">
        <f t="shared" si="641"/>
        <v>2606</v>
      </c>
      <c r="CU106" s="404">
        <f t="shared" si="641"/>
        <v>2609</v>
      </c>
      <c r="CV106" s="404">
        <f t="shared" si="641"/>
        <v>2612</v>
      </c>
      <c r="CW106" s="398"/>
      <c r="CX106" s="398"/>
      <c r="CY106" s="398"/>
      <c r="CZ106" s="398"/>
      <c r="DA106" s="398"/>
      <c r="DB106" s="398"/>
      <c r="DC106" s="398"/>
      <c r="DD106" s="398"/>
      <c r="DE106" s="398"/>
      <c r="DF106" s="398"/>
      <c r="DG106" s="398"/>
      <c r="DH106" s="398"/>
      <c r="DI106" s="398"/>
      <c r="DJ106" s="396"/>
      <c r="DK106" s="396"/>
      <c r="DL106" s="396"/>
      <c r="DM106" s="396"/>
      <c r="DN106" s="396"/>
      <c r="DO106" s="396"/>
      <c r="DP106" s="396"/>
      <c r="DQ106" s="396"/>
      <c r="DR106" s="396"/>
      <c r="DS106" s="396"/>
      <c r="DT106" s="396"/>
      <c r="DU106" s="396"/>
      <c r="DV106" s="396"/>
      <c r="DW106" s="396"/>
      <c r="DX106" s="396"/>
      <c r="DY106" s="396"/>
      <c r="DZ106" s="396"/>
      <c r="EA106" s="396"/>
      <c r="EB106" s="396"/>
      <c r="EC106" s="396"/>
      <c r="ED106" s="396"/>
      <c r="EE106" s="396"/>
      <c r="EF106" s="396"/>
      <c r="EG106" s="396"/>
      <c r="EH106" s="396"/>
      <c r="EI106" s="396"/>
      <c r="EJ106" s="396"/>
      <c r="EK106" s="396"/>
      <c r="EL106" s="396"/>
      <c r="EM106" s="396"/>
      <c r="EN106" s="396"/>
      <c r="EO106" s="396"/>
      <c r="EP106" s="396"/>
      <c r="EQ106" s="396"/>
      <c r="ER106" s="396"/>
      <c r="ES106" s="396"/>
      <c r="ET106" s="396"/>
      <c r="EU106" s="396"/>
      <c r="EV106" s="396"/>
      <c r="EW106" s="396"/>
      <c r="EX106" s="433"/>
      <c r="EY106" s="433"/>
      <c r="EZ106" s="433"/>
      <c r="FA106" s="433"/>
      <c r="FB106" s="433"/>
      <c r="FC106" s="433"/>
      <c r="FD106" s="433"/>
      <c r="FE106" s="433"/>
      <c r="FF106" s="433"/>
      <c r="FG106" s="433"/>
      <c r="FH106" s="433"/>
      <c r="FI106" s="433"/>
      <c r="FJ106" s="433"/>
      <c r="FK106" s="433"/>
      <c r="FL106" s="433"/>
      <c r="FM106" s="433"/>
      <c r="GS106" s="396"/>
      <c r="GT106" s="396"/>
      <c r="GU106" s="426" t="s">
        <v>787</v>
      </c>
      <c r="GV106" s="396"/>
      <c r="GW106" s="426">
        <f t="shared" ref="GW106:HH106" si="642">G88</f>
        <v>66.500000000000043</v>
      </c>
      <c r="GX106" s="426">
        <f t="shared" si="642"/>
        <v>144.90000000000009</v>
      </c>
      <c r="GY106" s="426">
        <f t="shared" si="642"/>
        <v>201.59999999999991</v>
      </c>
      <c r="GZ106" s="426">
        <f t="shared" si="642"/>
        <v>252.20000000000016</v>
      </c>
      <c r="HA106" s="426">
        <f t="shared" si="642"/>
        <v>79.400000000000063</v>
      </c>
      <c r="HB106" s="426">
        <f t="shared" si="642"/>
        <v>142.59999999999991</v>
      </c>
      <c r="HC106" s="426">
        <f t="shared" si="642"/>
        <v>193.9</v>
      </c>
      <c r="HD106" s="426">
        <f t="shared" si="642"/>
        <v>237.30000000000013</v>
      </c>
      <c r="HE106" s="426">
        <f t="shared" si="642"/>
        <v>72.399999999999991</v>
      </c>
      <c r="HF106" s="426">
        <f t="shared" si="642"/>
        <v>186.50000000000006</v>
      </c>
      <c r="HG106" s="426">
        <f t="shared" si="642"/>
        <v>193.9</v>
      </c>
      <c r="HH106" s="426">
        <f t="shared" si="642"/>
        <v>237.30000000000013</v>
      </c>
      <c r="HI106" s="396"/>
      <c r="HJ106" s="426"/>
      <c r="HK106" s="426"/>
      <c r="HL106" s="426"/>
      <c r="HM106" s="426"/>
      <c r="HN106" s="426"/>
      <c r="HO106" s="426"/>
      <c r="HP106" s="2005"/>
      <c r="HQ106" s="396"/>
      <c r="HR106" s="396"/>
      <c r="HZ106" s="894"/>
      <c r="IA106" s="437"/>
      <c r="IB106" s="2023"/>
      <c r="IC106" s="2023"/>
      <c r="ID106" s="2023"/>
      <c r="IE106" s="2023"/>
      <c r="IF106" s="2023"/>
      <c r="IG106" s="2023"/>
      <c r="IH106" s="396"/>
    </row>
    <row r="107" spans="1:276" x14ac:dyDescent="0.2">
      <c r="B107" s="433"/>
      <c r="C107" s="433"/>
      <c r="D107" s="396"/>
      <c r="E107" s="402"/>
      <c r="F107" s="396"/>
      <c r="G107" s="396"/>
      <c r="H107" s="396"/>
      <c r="I107" s="396"/>
      <c r="J107" s="396"/>
      <c r="K107" s="396"/>
      <c r="L107" s="396"/>
      <c r="M107" s="396"/>
      <c r="N107" s="396"/>
      <c r="O107" s="396"/>
      <c r="P107" s="396"/>
      <c r="Q107" s="396"/>
      <c r="R107" s="396"/>
      <c r="S107" s="396"/>
      <c r="T107" s="398"/>
      <c r="U107" s="398"/>
      <c r="V107" s="398"/>
      <c r="W107" s="398"/>
      <c r="X107" s="398"/>
      <c r="Y107" s="398"/>
      <c r="Z107" s="398"/>
      <c r="AA107" s="398"/>
      <c r="AB107" s="398"/>
      <c r="AC107" s="398"/>
      <c r="AD107" s="398"/>
      <c r="AE107" s="398"/>
      <c r="AF107" s="396"/>
      <c r="AG107" s="396"/>
      <c r="AH107" s="396"/>
      <c r="AI107" s="396"/>
      <c r="AJ107" s="396"/>
      <c r="AK107" s="396"/>
      <c r="AL107" s="396"/>
      <c r="AM107" s="396"/>
      <c r="AN107" s="396"/>
      <c r="AO107" s="396"/>
      <c r="AP107" s="396"/>
      <c r="AQ107" s="396"/>
      <c r="AR107" s="396"/>
      <c r="AS107" s="396"/>
      <c r="AT107" s="396"/>
      <c r="AU107" s="396"/>
      <c r="AV107" s="433"/>
      <c r="AW107" s="433"/>
      <c r="AX107" s="433"/>
      <c r="AY107" s="433"/>
      <c r="AZ107" s="433"/>
      <c r="BA107" s="433"/>
      <c r="BB107" s="433"/>
      <c r="BC107" s="433"/>
      <c r="BE107" s="396"/>
      <c r="BF107" s="396"/>
      <c r="BG107" s="396"/>
      <c r="BH107" s="396"/>
      <c r="BI107" s="396"/>
      <c r="BJ107" s="396"/>
      <c r="BK107" s="396"/>
      <c r="BL107" s="396"/>
      <c r="BM107" s="396"/>
      <c r="BN107" s="396"/>
      <c r="BO107" s="396"/>
      <c r="BP107" s="396"/>
      <c r="BQ107" s="398"/>
      <c r="BR107" s="396"/>
      <c r="BS107" s="396"/>
      <c r="BT107" s="396"/>
      <c r="BU107" s="396"/>
      <c r="BV107" s="396"/>
      <c r="BW107" s="396"/>
      <c r="BX107" s="396"/>
      <c r="BY107" s="396"/>
      <c r="BZ107" s="396"/>
      <c r="CA107" s="396"/>
      <c r="CB107" s="396"/>
      <c r="CC107" s="396"/>
      <c r="CD107" s="396"/>
      <c r="CE107" s="396"/>
      <c r="CF107" s="396"/>
      <c r="CG107" s="396"/>
      <c r="CH107" s="396"/>
      <c r="CI107" s="406" t="s">
        <v>77</v>
      </c>
      <c r="CJ107" s="407"/>
      <c r="CK107" s="1341">
        <v>7398775</v>
      </c>
      <c r="CL107" s="1341">
        <v>7398775</v>
      </c>
      <c r="CM107" s="1341">
        <v>7398775</v>
      </c>
      <c r="CN107" s="1341">
        <v>7398775</v>
      </c>
      <c r="CO107" s="1341">
        <v>7398775</v>
      </c>
      <c r="CP107" s="1341">
        <v>7398775</v>
      </c>
      <c r="CQ107" s="1341">
        <v>7398775</v>
      </c>
      <c r="CR107" s="1341">
        <v>7398775</v>
      </c>
      <c r="CS107" s="1341">
        <v>7398775</v>
      </c>
      <c r="CT107" s="1341">
        <v>7398775</v>
      </c>
      <c r="CU107" s="407"/>
      <c r="CV107" s="407"/>
      <c r="CW107" s="398"/>
      <c r="CX107" s="398"/>
      <c r="CY107" s="398"/>
      <c r="CZ107" s="398"/>
      <c r="DA107" s="398"/>
      <c r="DB107" s="398"/>
      <c r="DC107" s="398"/>
      <c r="DD107" s="398"/>
      <c r="DE107" s="398"/>
      <c r="DF107" s="398"/>
      <c r="DG107" s="398"/>
      <c r="DH107" s="398"/>
      <c r="DI107" s="398"/>
      <c r="DJ107" s="396"/>
      <c r="DK107" s="396"/>
      <c r="DL107" s="396"/>
      <c r="DM107" s="396"/>
      <c r="DN107" s="396"/>
      <c r="DO107" s="396"/>
      <c r="DP107" s="396"/>
      <c r="DQ107" s="396"/>
      <c r="DR107" s="396"/>
      <c r="DS107" s="396"/>
      <c r="DT107" s="396"/>
      <c r="DU107" s="396"/>
      <c r="DV107" s="396"/>
      <c r="DW107" s="396"/>
      <c r="DX107" s="396"/>
      <c r="DY107" s="396"/>
      <c r="DZ107" s="396"/>
      <c r="EA107" s="396"/>
      <c r="EB107" s="396"/>
      <c r="EC107" s="396"/>
      <c r="ED107" s="396"/>
      <c r="EE107" s="396"/>
      <c r="EF107" s="396"/>
      <c r="EG107" s="396"/>
      <c r="EH107" s="396"/>
      <c r="EI107" s="396"/>
      <c r="EJ107" s="396"/>
      <c r="EK107" s="396"/>
      <c r="EL107" s="396"/>
      <c r="EM107" s="396"/>
      <c r="EN107" s="396"/>
      <c r="EO107" s="396"/>
      <c r="EP107" s="396"/>
      <c r="EQ107" s="396"/>
      <c r="ER107" s="396"/>
      <c r="ES107" s="396"/>
      <c r="ET107" s="396"/>
      <c r="EU107" s="396"/>
      <c r="EV107" s="396"/>
      <c r="EW107" s="396"/>
      <c r="GS107" s="396"/>
      <c r="GT107" s="396"/>
      <c r="GU107" s="426" t="s">
        <v>785</v>
      </c>
      <c r="GV107" s="396"/>
      <c r="GW107" s="426">
        <f t="shared" ref="GW107:HH107" si="643">T88</f>
        <v>66.500000000000043</v>
      </c>
      <c r="GX107" s="426">
        <f t="shared" si="643"/>
        <v>78.400000000000048</v>
      </c>
      <c r="GY107" s="426">
        <f t="shared" si="643"/>
        <v>56.699999999999811</v>
      </c>
      <c r="GZ107" s="426">
        <f t="shared" si="643"/>
        <v>50.600000000000229</v>
      </c>
      <c r="HA107" s="426">
        <f t="shared" si="643"/>
        <v>79.400000000000063</v>
      </c>
      <c r="HB107" s="426">
        <f t="shared" si="643"/>
        <v>63.199999999999847</v>
      </c>
      <c r="HC107" s="426">
        <f t="shared" si="643"/>
        <v>51.300000000000097</v>
      </c>
      <c r="HD107" s="426">
        <f t="shared" si="643"/>
        <v>43.400000000000091</v>
      </c>
      <c r="HE107" s="426">
        <f t="shared" si="643"/>
        <v>72.399999999999991</v>
      </c>
      <c r="HF107" s="426">
        <f t="shared" si="643"/>
        <v>114.10000000000005</v>
      </c>
      <c r="HG107" s="426">
        <f t="shared" si="643"/>
        <v>7.3999999999999577</v>
      </c>
      <c r="HH107" s="426">
        <f t="shared" si="643"/>
        <v>43.400000000000091</v>
      </c>
      <c r="HI107" s="396"/>
      <c r="HJ107" s="426"/>
      <c r="HK107" s="426"/>
      <c r="HL107" s="426"/>
      <c r="HM107" s="426"/>
      <c r="HN107" s="426"/>
      <c r="HO107" s="426"/>
      <c r="HP107" s="2005"/>
      <c r="HQ107" s="396"/>
      <c r="HR107" s="396"/>
      <c r="IA107" s="396"/>
      <c r="IB107" s="398"/>
      <c r="IC107" s="398"/>
      <c r="ID107" s="398"/>
      <c r="IE107" s="398"/>
      <c r="IF107" s="398"/>
      <c r="IG107" s="398"/>
      <c r="IH107" s="396"/>
    </row>
    <row r="108" spans="1:276" x14ac:dyDescent="0.2">
      <c r="D108" s="396"/>
      <c r="E108" s="402"/>
      <c r="F108" s="396"/>
      <c r="G108" s="396"/>
      <c r="H108" s="396"/>
      <c r="I108" s="396"/>
      <c r="J108" s="396"/>
      <c r="K108" s="396"/>
      <c r="L108" s="396"/>
      <c r="M108" s="396"/>
      <c r="N108" s="396"/>
      <c r="O108" s="396"/>
      <c r="P108" s="396"/>
      <c r="Q108" s="396"/>
      <c r="R108" s="396"/>
      <c r="S108" s="396"/>
      <c r="T108" s="398"/>
      <c r="U108" s="398"/>
      <c r="V108" s="398"/>
      <c r="W108" s="398"/>
      <c r="X108" s="398"/>
      <c r="Y108" s="398"/>
      <c r="Z108" s="398"/>
      <c r="AA108" s="398"/>
      <c r="AB108" s="398"/>
      <c r="AC108" s="398"/>
      <c r="AD108" s="398"/>
      <c r="AE108" s="398"/>
      <c r="AF108" s="396"/>
      <c r="AG108" s="396"/>
      <c r="AH108" s="396"/>
      <c r="AI108" s="396"/>
      <c r="AJ108" s="396"/>
      <c r="AK108" s="396"/>
      <c r="AL108" s="396"/>
      <c r="AM108" s="396"/>
      <c r="AN108" s="396"/>
      <c r="AO108" s="396"/>
      <c r="AP108" s="396"/>
      <c r="AQ108" s="396"/>
      <c r="AR108" s="396"/>
      <c r="AS108" s="396"/>
      <c r="AT108" s="396"/>
      <c r="AU108" s="396"/>
      <c r="BE108" s="433"/>
      <c r="BF108" s="433"/>
      <c r="BG108" s="433"/>
      <c r="BH108" s="433"/>
      <c r="BI108" s="433"/>
      <c r="BJ108" s="433"/>
      <c r="BK108" s="433"/>
      <c r="BL108" s="433"/>
      <c r="BM108" s="433"/>
      <c r="BN108" s="433"/>
      <c r="BO108" s="433"/>
      <c r="BP108" s="433"/>
      <c r="BQ108" s="434"/>
      <c r="BR108" s="433"/>
      <c r="BS108" s="433"/>
      <c r="BT108" s="433"/>
      <c r="BU108" s="433"/>
      <c r="BV108" s="433"/>
      <c r="BW108" s="433"/>
      <c r="BX108" s="433"/>
      <c r="BY108" s="433"/>
      <c r="BZ108" s="433"/>
      <c r="CA108" s="433"/>
      <c r="CB108" s="433"/>
      <c r="CC108" s="433"/>
      <c r="CD108" s="433"/>
      <c r="CE108" s="433"/>
      <c r="CF108" s="433"/>
      <c r="CG108" s="433"/>
      <c r="CH108" s="396"/>
      <c r="CI108" s="409"/>
      <c r="CJ108" s="410"/>
      <c r="CK108" s="409"/>
      <c r="CL108" s="409"/>
      <c r="CM108" s="409"/>
      <c r="CN108" s="409"/>
      <c r="CO108" s="409"/>
      <c r="CP108" s="409"/>
      <c r="CQ108" s="409"/>
      <c r="CR108" s="409"/>
      <c r="CS108" s="409"/>
      <c r="CT108" s="409"/>
      <c r="CU108" s="409"/>
      <c r="CV108" s="398"/>
      <c r="CW108" s="398"/>
      <c r="CX108" s="398"/>
      <c r="CY108" s="435"/>
      <c r="CZ108" s="435"/>
      <c r="DA108" s="435"/>
      <c r="DB108" s="435"/>
      <c r="DC108" s="435"/>
      <c r="DD108" s="435"/>
      <c r="DE108" s="435"/>
      <c r="DF108" s="435"/>
      <c r="DG108" s="435"/>
      <c r="DH108" s="435"/>
      <c r="DI108" s="435"/>
      <c r="DJ108" s="396"/>
      <c r="DK108" s="433"/>
      <c r="DL108" s="433"/>
      <c r="DM108" s="433"/>
      <c r="DN108" s="433"/>
      <c r="DO108" s="433"/>
      <c r="DP108" s="433"/>
      <c r="DQ108" s="433"/>
      <c r="DR108" s="433"/>
      <c r="DS108" s="433"/>
      <c r="DT108" s="433"/>
      <c r="DU108" s="433"/>
      <c r="DV108" s="433"/>
      <c r="DW108" s="433"/>
      <c r="DX108" s="433"/>
      <c r="DY108" s="433"/>
      <c r="DZ108" s="433"/>
      <c r="EA108" s="433"/>
      <c r="EB108" s="433"/>
      <c r="EC108" s="433"/>
      <c r="ED108" s="433"/>
      <c r="EE108" s="433"/>
      <c r="EF108" s="433"/>
      <c r="EG108" s="433"/>
      <c r="EH108" s="433"/>
      <c r="EI108" s="433"/>
      <c r="EJ108" s="433"/>
      <c r="EK108" s="433"/>
      <c r="EL108" s="433"/>
      <c r="EM108" s="433"/>
      <c r="EN108" s="433"/>
      <c r="EO108" s="433"/>
      <c r="EP108" s="433"/>
      <c r="EQ108" s="433"/>
      <c r="ER108" s="433"/>
      <c r="ES108" s="433"/>
      <c r="ET108" s="433"/>
      <c r="EU108" s="433"/>
      <c r="EV108" s="396"/>
      <c r="EW108" s="396"/>
      <c r="GS108" s="396"/>
      <c r="GT108" s="396"/>
      <c r="GU108" s="426" t="s">
        <v>786</v>
      </c>
      <c r="GV108" s="396"/>
      <c r="GW108" s="426"/>
      <c r="GX108" s="426"/>
      <c r="GY108" s="426"/>
      <c r="GZ108" s="426"/>
      <c r="HA108" s="2309">
        <f>HA106+SUM(GX107:GZ107)</f>
        <v>265.10000000000014</v>
      </c>
      <c r="HB108" s="2309">
        <f>HB106+SUM(GY107:GZ107)</f>
        <v>249.89999999999995</v>
      </c>
      <c r="HC108" s="2309">
        <f>HC106+SUM(GZ107)</f>
        <v>244.50000000000023</v>
      </c>
      <c r="HD108" s="2309">
        <f>HD106</f>
        <v>237.30000000000013</v>
      </c>
      <c r="HE108" s="2309">
        <f>HE106+SUM(HB107:HD107)</f>
        <v>230.3</v>
      </c>
      <c r="HF108" s="2309">
        <f>HF106+SUM(HC107:HD107)</f>
        <v>281.20000000000027</v>
      </c>
      <c r="HG108" s="2309">
        <f>HG106+SUM(HD107)</f>
        <v>237.3000000000001</v>
      </c>
      <c r="HH108" s="2309">
        <f>HH106</f>
        <v>237.30000000000013</v>
      </c>
      <c r="HI108" s="396"/>
      <c r="HJ108" s="426">
        <f>HF108</f>
        <v>281.20000000000027</v>
      </c>
      <c r="HK108" s="426">
        <f>HB108</f>
        <v>249.89999999999995</v>
      </c>
      <c r="HL108" s="426">
        <f>HF108</f>
        <v>281.20000000000027</v>
      </c>
      <c r="HM108" s="426">
        <f>HB108</f>
        <v>249.89999999999995</v>
      </c>
      <c r="HN108" s="426">
        <f>HF108</f>
        <v>281.20000000000027</v>
      </c>
      <c r="HO108" s="426">
        <f>HD108</f>
        <v>237.30000000000013</v>
      </c>
      <c r="HP108" s="2000" t="s">
        <v>761</v>
      </c>
      <c r="HQ108" s="396"/>
      <c r="HR108" s="396"/>
      <c r="IA108" s="396"/>
      <c r="IB108" s="398"/>
      <c r="IC108" s="398"/>
      <c r="ID108" s="398"/>
      <c r="IE108" s="398"/>
      <c r="IF108" s="398"/>
      <c r="IG108" s="398"/>
      <c r="IH108" s="396"/>
    </row>
    <row r="109" spans="1:276" ht="12" thickBot="1" x14ac:dyDescent="0.25">
      <c r="D109" s="396"/>
      <c r="E109" s="402"/>
      <c r="F109" s="396"/>
      <c r="G109" s="396"/>
      <c r="H109" s="396"/>
      <c r="I109" s="396"/>
      <c r="J109" s="396"/>
      <c r="K109" s="396"/>
      <c r="L109" s="396"/>
      <c r="M109" s="396"/>
      <c r="N109" s="396"/>
      <c r="O109" s="396"/>
      <c r="P109" s="396"/>
      <c r="Q109" s="396"/>
      <c r="R109" s="396"/>
      <c r="S109" s="396"/>
      <c r="T109" s="398"/>
      <c r="U109" s="398"/>
      <c r="V109" s="398"/>
      <c r="W109" s="398"/>
      <c r="X109" s="398"/>
      <c r="Y109" s="398"/>
      <c r="Z109" s="398"/>
      <c r="AA109" s="398"/>
      <c r="AB109" s="398"/>
      <c r="AC109" s="398"/>
      <c r="AD109" s="398"/>
      <c r="AE109" s="398"/>
      <c r="AF109" s="396"/>
      <c r="AG109" s="396"/>
      <c r="AH109" s="396"/>
      <c r="AI109" s="396"/>
      <c r="AJ109" s="396"/>
      <c r="AK109" s="396"/>
      <c r="AL109" s="396"/>
      <c r="AM109" s="396"/>
      <c r="AN109" s="396"/>
      <c r="AO109" s="396"/>
      <c r="AP109" s="396"/>
      <c r="AQ109" s="396"/>
      <c r="AR109" s="396"/>
      <c r="AS109" s="396"/>
      <c r="AT109" s="396"/>
      <c r="AU109" s="396"/>
      <c r="CE109" s="242"/>
      <c r="CF109" s="242"/>
      <c r="CG109" s="242"/>
      <c r="CH109" s="242"/>
      <c r="CI109" s="242"/>
      <c r="CW109" s="436"/>
      <c r="CX109" s="436"/>
      <c r="CY109" s="436"/>
      <c r="CZ109" s="436"/>
      <c r="DA109" s="436"/>
      <c r="DB109" s="436"/>
      <c r="DC109" s="436"/>
      <c r="DD109" s="436"/>
      <c r="DE109" s="436"/>
      <c r="DF109" s="436"/>
      <c r="DG109" s="436"/>
      <c r="DH109" s="436"/>
      <c r="DI109" s="436"/>
      <c r="DJ109" s="433"/>
      <c r="EV109" s="433"/>
      <c r="EW109" s="396"/>
      <c r="GT109" s="396"/>
      <c r="GU109" s="2310" t="s">
        <v>788</v>
      </c>
      <c r="GV109" s="396"/>
      <c r="GW109" s="2311"/>
      <c r="GX109" s="2311"/>
      <c r="GY109" s="2311"/>
      <c r="GZ109" s="2311"/>
      <c r="HA109" s="2312">
        <f t="shared" ref="HA109:HH109" si="644">HA97/HA108</f>
        <v>0.25122595247076562</v>
      </c>
      <c r="HB109" s="2312">
        <f t="shared" si="644"/>
        <v>0.46418567426970797</v>
      </c>
      <c r="HC109" s="2312">
        <f t="shared" si="644"/>
        <v>0.58036809815950852</v>
      </c>
      <c r="HD109" s="2312">
        <f t="shared" si="644"/>
        <v>0.73240623683101524</v>
      </c>
      <c r="HE109" s="2312">
        <f t="shared" si="644"/>
        <v>0.66304819800260517</v>
      </c>
      <c r="HF109" s="2312">
        <f t="shared" si="644"/>
        <v>0.37019914651493563</v>
      </c>
      <c r="HG109" s="2311">
        <f t="shared" si="644"/>
        <v>0</v>
      </c>
      <c r="HH109" s="2311">
        <f t="shared" si="644"/>
        <v>0</v>
      </c>
      <c r="HI109" s="396"/>
      <c r="HJ109" s="2312">
        <f>HF109</f>
        <v>0.37019914651493563</v>
      </c>
      <c r="HK109" s="2312">
        <f>HB109</f>
        <v>0.46418567426970797</v>
      </c>
      <c r="HL109" s="2312">
        <f>HF109</f>
        <v>0.37019914651493563</v>
      </c>
      <c r="HM109" s="2312">
        <f>HB109</f>
        <v>0.46418567426970797</v>
      </c>
      <c r="HN109" s="2312">
        <f>HF109</f>
        <v>0.37019914651493563</v>
      </c>
      <c r="HO109" s="2312">
        <f>HD109</f>
        <v>0.73240623683101524</v>
      </c>
      <c r="HP109" s="2002"/>
      <c r="HQ109" s="396"/>
      <c r="IA109" s="396"/>
      <c r="IB109" s="398"/>
      <c r="IC109" s="398"/>
      <c r="ID109" s="398"/>
      <c r="IE109" s="398"/>
      <c r="IF109" s="398"/>
      <c r="IG109" s="398"/>
      <c r="IH109" s="396"/>
    </row>
    <row r="110" spans="1:276" ht="12" thickTop="1" x14ac:dyDescent="0.2">
      <c r="D110" s="396"/>
      <c r="E110" s="402"/>
      <c r="F110" s="396"/>
      <c r="G110" s="396"/>
      <c r="H110" s="396"/>
      <c r="I110" s="396"/>
      <c r="J110" s="396"/>
      <c r="K110" s="396"/>
      <c r="L110" s="396"/>
      <c r="M110" s="396"/>
      <c r="N110" s="396"/>
      <c r="O110" s="396"/>
      <c r="P110" s="396"/>
      <c r="Q110" s="396"/>
      <c r="R110" s="396"/>
      <c r="S110" s="396"/>
      <c r="T110" s="398"/>
      <c r="U110" s="398"/>
      <c r="V110" s="398"/>
      <c r="W110" s="398"/>
      <c r="X110" s="398"/>
      <c r="Y110" s="398"/>
      <c r="Z110" s="398"/>
      <c r="AA110" s="398"/>
      <c r="AB110" s="398"/>
      <c r="AC110" s="398"/>
      <c r="AD110" s="398"/>
      <c r="AE110" s="398"/>
      <c r="AF110" s="396"/>
      <c r="AG110" s="396"/>
      <c r="AH110" s="396"/>
      <c r="AI110" s="396"/>
      <c r="AJ110" s="396"/>
      <c r="AK110" s="396"/>
      <c r="AL110" s="396"/>
      <c r="AM110" s="396"/>
      <c r="AN110" s="396"/>
      <c r="AO110" s="396"/>
      <c r="AP110" s="396"/>
      <c r="AQ110" s="396"/>
      <c r="AR110" s="396"/>
      <c r="AS110" s="396"/>
      <c r="AT110" s="396"/>
      <c r="AU110" s="396"/>
      <c r="CE110" s="242"/>
      <c r="CF110" s="242"/>
      <c r="CG110" s="242"/>
      <c r="CH110" s="242"/>
      <c r="CI110" s="242"/>
      <c r="CW110" s="436"/>
      <c r="CX110" s="436"/>
      <c r="CY110" s="436"/>
      <c r="CZ110" s="436"/>
      <c r="DA110" s="436"/>
      <c r="DB110" s="436"/>
      <c r="DC110" s="436"/>
      <c r="DD110" s="436"/>
      <c r="DE110" s="436"/>
      <c r="DF110" s="436"/>
      <c r="DG110" s="436"/>
      <c r="DH110" s="436"/>
      <c r="DI110" s="436"/>
      <c r="EW110" s="433"/>
      <c r="GT110" s="396"/>
      <c r="GU110" s="396"/>
      <c r="GV110" s="396"/>
      <c r="GW110" s="396"/>
      <c r="GX110" s="396"/>
      <c r="GY110" s="396"/>
      <c r="GZ110" s="396"/>
      <c r="HA110" s="396"/>
      <c r="HB110" s="396"/>
      <c r="HC110" s="396"/>
      <c r="HD110" s="396"/>
      <c r="HE110" s="396"/>
      <c r="HF110" s="396"/>
      <c r="HG110" s="396"/>
      <c r="HH110" s="396"/>
      <c r="HI110" s="396"/>
      <c r="HJ110" s="396"/>
      <c r="HK110" s="396"/>
      <c r="HL110" s="396"/>
      <c r="HM110" s="396"/>
      <c r="HN110" s="396"/>
      <c r="HO110" s="396"/>
      <c r="HP110" s="2005"/>
      <c r="HQ110" s="396"/>
      <c r="IA110" s="396"/>
      <c r="IB110" s="398"/>
      <c r="IC110" s="398"/>
      <c r="ID110" s="398"/>
      <c r="IE110" s="398"/>
      <c r="IF110" s="398"/>
      <c r="IG110" s="398"/>
      <c r="IH110" s="396"/>
    </row>
    <row r="111" spans="1:276" x14ac:dyDescent="0.2">
      <c r="D111" s="433"/>
      <c r="E111" s="432"/>
      <c r="F111" s="433"/>
      <c r="G111" s="433"/>
      <c r="H111" s="433"/>
      <c r="I111" s="433"/>
      <c r="J111" s="433"/>
      <c r="K111" s="433"/>
      <c r="L111" s="433"/>
      <c r="M111" s="433"/>
      <c r="N111" s="433"/>
      <c r="O111" s="433"/>
      <c r="P111" s="433"/>
      <c r="Q111" s="433"/>
      <c r="R111" s="433"/>
      <c r="S111" s="433"/>
      <c r="T111" s="434"/>
      <c r="U111" s="434"/>
      <c r="V111" s="434"/>
      <c r="W111" s="434"/>
      <c r="X111" s="434"/>
      <c r="Y111" s="434"/>
      <c r="Z111" s="434"/>
      <c r="AA111" s="434"/>
      <c r="AB111" s="434"/>
      <c r="AC111" s="434"/>
      <c r="AD111" s="434"/>
      <c r="AE111" s="434"/>
      <c r="AF111" s="433"/>
      <c r="AG111" s="433"/>
      <c r="AH111" s="433"/>
      <c r="AI111" s="433"/>
      <c r="AJ111" s="433"/>
      <c r="AK111" s="433"/>
      <c r="AL111" s="433"/>
      <c r="AM111" s="433"/>
      <c r="AN111" s="433"/>
      <c r="AO111" s="433"/>
      <c r="AP111" s="433"/>
      <c r="AQ111" s="433"/>
      <c r="AR111" s="433"/>
      <c r="AS111" s="433"/>
      <c r="AT111" s="433"/>
      <c r="AU111" s="433"/>
      <c r="CE111" s="242"/>
      <c r="CF111" s="242"/>
      <c r="CG111" s="242"/>
      <c r="CH111" s="242"/>
      <c r="CI111" s="242"/>
      <c r="CW111" s="438"/>
      <c r="CX111" s="438"/>
      <c r="CY111" s="438"/>
      <c r="CZ111" s="438"/>
      <c r="DA111" s="438"/>
      <c r="DB111" s="438"/>
      <c r="DC111" s="438"/>
      <c r="DD111" s="438"/>
      <c r="DE111" s="438"/>
      <c r="DF111" s="438"/>
      <c r="DG111" s="438"/>
      <c r="DH111" s="438"/>
      <c r="DI111" s="438"/>
      <c r="GT111" s="396"/>
      <c r="GU111" s="812" t="s">
        <v>273</v>
      </c>
      <c r="GV111" s="396"/>
      <c r="GW111" s="1517">
        <f t="shared" ref="GW111:HH111" si="645">SUM(GW94:GW95)</f>
        <v>151.6</v>
      </c>
      <c r="GX111" s="1517">
        <f t="shared" si="645"/>
        <v>138.20000000000002</v>
      </c>
      <c r="GY111" s="1517">
        <f t="shared" si="645"/>
        <v>130.30000000000001</v>
      </c>
      <c r="GZ111" s="1517">
        <f t="shared" si="645"/>
        <v>125.3</v>
      </c>
      <c r="HA111" s="1517">
        <f t="shared" si="645"/>
        <v>116.5</v>
      </c>
      <c r="HB111" s="1517">
        <f t="shared" si="645"/>
        <v>154.5</v>
      </c>
      <c r="HC111" s="1517">
        <f t="shared" si="645"/>
        <v>198.39999999999998</v>
      </c>
      <c r="HD111" s="1517">
        <f t="shared" si="645"/>
        <v>223.8</v>
      </c>
      <c r="HE111" s="1517">
        <f t="shared" si="645"/>
        <v>189.7</v>
      </c>
      <c r="HF111" s="1517">
        <f t="shared" si="645"/>
        <v>118.8</v>
      </c>
      <c r="HG111" s="1517">
        <f t="shared" si="645"/>
        <v>0</v>
      </c>
      <c r="HH111" s="1517">
        <f t="shared" si="645"/>
        <v>0</v>
      </c>
      <c r="HI111" s="396"/>
      <c r="HJ111" s="831"/>
      <c r="HK111" s="831"/>
      <c r="HL111" s="831"/>
      <c r="HM111" s="831"/>
      <c r="HN111" s="831"/>
      <c r="HO111" s="831"/>
      <c r="HP111" s="2005"/>
      <c r="IA111" s="433"/>
      <c r="IB111" s="434"/>
      <c r="IC111" s="434"/>
      <c r="ID111" s="434"/>
      <c r="IE111" s="434"/>
      <c r="IF111" s="434"/>
      <c r="IG111" s="434"/>
      <c r="IH111" s="396"/>
    </row>
    <row r="112" spans="1:276" x14ac:dyDescent="0.2">
      <c r="CE112" s="242"/>
      <c r="CF112" s="242"/>
      <c r="CG112" s="242"/>
      <c r="CH112" s="242"/>
      <c r="CI112" s="242"/>
      <c r="CW112" s="434"/>
      <c r="CX112" s="434"/>
      <c r="CY112" s="434"/>
      <c r="CZ112" s="434"/>
      <c r="DA112" s="434"/>
      <c r="DB112" s="434"/>
      <c r="DC112" s="434"/>
      <c r="DD112" s="434"/>
      <c r="DE112" s="434"/>
      <c r="DF112" s="434"/>
      <c r="DG112" s="434"/>
      <c r="DH112" s="434"/>
      <c r="DI112" s="434"/>
      <c r="GT112" s="396"/>
      <c r="GU112" s="396"/>
      <c r="GV112" s="396"/>
      <c r="GW112" s="396"/>
      <c r="GX112" s="396"/>
      <c r="GY112" s="396"/>
      <c r="GZ112" s="396"/>
      <c r="HA112" s="396"/>
      <c r="HB112" s="396"/>
      <c r="HC112" s="396"/>
      <c r="HD112" s="396"/>
      <c r="HE112" s="396"/>
      <c r="HF112" s="396"/>
      <c r="HG112" s="396"/>
      <c r="HH112" s="396"/>
      <c r="HI112" s="396"/>
      <c r="HJ112" s="396"/>
      <c r="HK112" s="396"/>
      <c r="HL112" s="396"/>
      <c r="HM112" s="396"/>
      <c r="HN112" s="396"/>
      <c r="HO112" s="396"/>
      <c r="HP112" s="2005"/>
      <c r="IH112" s="433"/>
    </row>
    <row r="113" spans="1:276" ht="15.75" x14ac:dyDescent="0.25">
      <c r="CE113" s="242"/>
      <c r="CF113" s="242"/>
      <c r="CG113" s="242"/>
      <c r="CH113" s="242"/>
      <c r="CI113" s="242"/>
      <c r="GU113" s="429" t="s">
        <v>751</v>
      </c>
      <c r="GV113" s="396"/>
      <c r="GW113" s="1141"/>
      <c r="GX113" s="1141"/>
      <c r="GY113" s="1141"/>
      <c r="GZ113" s="1141"/>
      <c r="HA113" s="1141"/>
      <c r="HB113" s="1141"/>
      <c r="HC113" s="1141"/>
      <c r="HD113" s="1141"/>
      <c r="HE113" s="1141"/>
      <c r="HF113" s="1141"/>
      <c r="HG113" s="1141"/>
      <c r="HH113" s="1141"/>
      <c r="HI113" s="433"/>
      <c r="HJ113" s="1342"/>
      <c r="HP113" s="2006"/>
    </row>
    <row r="114" spans="1:276" x14ac:dyDescent="0.2">
      <c r="CE114" s="242"/>
      <c r="CF114" s="242"/>
      <c r="CG114" s="242"/>
      <c r="CH114" s="242"/>
      <c r="CI114" s="242"/>
      <c r="GV114" s="396"/>
      <c r="GW114" s="1141"/>
      <c r="GX114" s="1141"/>
      <c r="GY114" s="1141"/>
      <c r="GZ114" s="1141"/>
      <c r="HA114" s="1141"/>
      <c r="HB114" s="1141"/>
      <c r="HC114" s="1141"/>
      <c r="HD114" s="1141"/>
      <c r="HE114" s="1141"/>
      <c r="HF114" s="1141"/>
      <c r="HG114" s="1141"/>
      <c r="HH114" s="1141"/>
      <c r="HP114" s="2009"/>
    </row>
    <row r="115" spans="1:276" x14ac:dyDescent="0.2">
      <c r="CE115" s="242"/>
      <c r="CF115" s="242"/>
      <c r="CG115" s="242"/>
      <c r="CH115" s="242"/>
      <c r="CI115" s="242"/>
      <c r="GU115" s="256"/>
      <c r="GV115" s="396"/>
      <c r="GW115" s="214">
        <f t="shared" ref="GW115:HH115" si="646">GW$28</f>
        <v>2403</v>
      </c>
      <c r="GX115" s="214">
        <f t="shared" si="646"/>
        <v>2406</v>
      </c>
      <c r="GY115" s="214">
        <f t="shared" si="646"/>
        <v>2409</v>
      </c>
      <c r="GZ115" s="214">
        <f t="shared" si="646"/>
        <v>2412</v>
      </c>
      <c r="HA115" s="214">
        <f t="shared" si="646"/>
        <v>2503</v>
      </c>
      <c r="HB115" s="214">
        <f t="shared" si="646"/>
        <v>2506</v>
      </c>
      <c r="HC115" s="214">
        <f t="shared" si="646"/>
        <v>2509</v>
      </c>
      <c r="HD115" s="214">
        <f t="shared" si="646"/>
        <v>2512</v>
      </c>
      <c r="HE115" s="214">
        <f t="shared" si="646"/>
        <v>2603</v>
      </c>
      <c r="HF115" s="214">
        <f t="shared" si="646"/>
        <v>2606</v>
      </c>
      <c r="HG115" s="214">
        <f t="shared" si="646"/>
        <v>2609</v>
      </c>
      <c r="HH115" s="214">
        <f t="shared" si="646"/>
        <v>2612</v>
      </c>
      <c r="HJ115" s="214" t="str">
        <f t="shared" ref="HJ115:HO115" si="647">HJ$10</f>
        <v>Kvartal 2</v>
      </c>
      <c r="HK115" s="214" t="str">
        <f t="shared" si="647"/>
        <v>Kvartal 2</v>
      </c>
      <c r="HL115" s="214" t="str">
        <f t="shared" si="647"/>
        <v>Kvartal 1-2</v>
      </c>
      <c r="HM115" s="214" t="str">
        <f t="shared" si="647"/>
        <v>Kvartal 1-2</v>
      </c>
      <c r="HN115" s="214" t="str">
        <f t="shared" si="647"/>
        <v>Kvartal 2, R12</v>
      </c>
      <c r="HO115" s="214" t="str">
        <f t="shared" si="647"/>
        <v>Helår</v>
      </c>
      <c r="HP115" s="2007"/>
    </row>
    <row r="116" spans="1:276" x14ac:dyDescent="0.2">
      <c r="CE116" s="242"/>
      <c r="CF116" s="242"/>
      <c r="CG116" s="242"/>
      <c r="CH116" s="242"/>
      <c r="CI116" s="242"/>
      <c r="GU116" s="1581"/>
      <c r="GV116" s="396"/>
      <c r="GW116" s="1124"/>
      <c r="GX116" s="1124"/>
      <c r="GY116" s="1124"/>
      <c r="GZ116" s="1124"/>
      <c r="HA116" s="1124"/>
      <c r="HB116" s="1124"/>
      <c r="HC116" s="1124"/>
      <c r="HD116" s="1124"/>
      <c r="HE116" s="1124"/>
      <c r="HF116" s="1124"/>
      <c r="HG116" s="1124"/>
      <c r="HH116" s="1124"/>
      <c r="HJ116" s="1124">
        <f t="shared" ref="HJ116:HO116" si="648">HJ$11</f>
        <v>2026</v>
      </c>
      <c r="HK116" s="1124">
        <f t="shared" si="648"/>
        <v>2025</v>
      </c>
      <c r="HL116" s="1124">
        <f t="shared" si="648"/>
        <v>2026</v>
      </c>
      <c r="HM116" s="1124">
        <f t="shared" si="648"/>
        <v>2025</v>
      </c>
      <c r="HN116" s="1124">
        <f t="shared" si="648"/>
        <v>2026</v>
      </c>
      <c r="HO116" s="1124">
        <f t="shared" si="648"/>
        <v>2025</v>
      </c>
      <c r="HP116" s="2007"/>
    </row>
    <row r="117" spans="1:276" x14ac:dyDescent="0.2">
      <c r="CE117" s="242"/>
      <c r="CF117" s="242"/>
      <c r="CG117" s="242"/>
      <c r="CH117" s="242"/>
      <c r="CI117" s="242"/>
      <c r="GU117" s="264" t="str">
        <f>GU97</f>
        <v>Räntebärande nettoskuld</v>
      </c>
      <c r="GV117" s="396"/>
      <c r="GW117" s="2273">
        <f t="shared" ref="GW117:HH117" si="649">GW97</f>
        <v>15.299999999999983</v>
      </c>
      <c r="GX117" s="2273">
        <f t="shared" si="649"/>
        <v>-2.7999999999999829</v>
      </c>
      <c r="GY117" s="2273">
        <f t="shared" si="649"/>
        <v>81.200000000000017</v>
      </c>
      <c r="GZ117" s="2273">
        <f t="shared" si="649"/>
        <v>56.599999999999994</v>
      </c>
      <c r="HA117" s="2273">
        <f t="shared" si="649"/>
        <v>66.599999999999994</v>
      </c>
      <c r="HB117" s="2273">
        <f t="shared" si="649"/>
        <v>116</v>
      </c>
      <c r="HC117" s="2273">
        <f t="shared" si="649"/>
        <v>141.89999999999998</v>
      </c>
      <c r="HD117" s="2273">
        <f t="shared" si="649"/>
        <v>173.8</v>
      </c>
      <c r="HE117" s="2273">
        <f t="shared" si="649"/>
        <v>152.69999999999999</v>
      </c>
      <c r="HF117" s="2273">
        <f t="shared" si="649"/>
        <v>104.1</v>
      </c>
      <c r="HG117" s="2273">
        <f t="shared" si="649"/>
        <v>0</v>
      </c>
      <c r="HH117" s="2273">
        <f t="shared" si="649"/>
        <v>0</v>
      </c>
      <c r="HJ117" s="2274">
        <f>HF117</f>
        <v>104.1</v>
      </c>
      <c r="HK117" s="2274">
        <f>HB117</f>
        <v>116</v>
      </c>
      <c r="HL117" s="2274">
        <f>HF117</f>
        <v>104.1</v>
      </c>
      <c r="HM117" s="2274">
        <f>HB117</f>
        <v>116</v>
      </c>
      <c r="HN117" s="2274">
        <f>HF117</f>
        <v>104.1</v>
      </c>
      <c r="HO117" s="2274">
        <f>HD117</f>
        <v>173.8</v>
      </c>
      <c r="HP117" s="2009"/>
    </row>
    <row r="118" spans="1:276" x14ac:dyDescent="0.2">
      <c r="CE118" s="242"/>
      <c r="CF118" s="242"/>
      <c r="CG118" s="242"/>
      <c r="CH118" s="242"/>
      <c r="CI118" s="242"/>
      <c r="GU118" s="1145" t="str">
        <f>'Koncern BR'!AH32</f>
        <v>Summa eget kapital</v>
      </c>
      <c r="GV118" s="396"/>
      <c r="GW118" s="2275">
        <f>'Koncern BR'!AK32</f>
        <v>1342.2336748425746</v>
      </c>
      <c r="GX118" s="2275">
        <f>'Koncern BR'!AL32</f>
        <v>1366.0341704483833</v>
      </c>
      <c r="GY118" s="2275">
        <f>'Koncern BR'!AM32</f>
        <v>1393.3138669441917</v>
      </c>
      <c r="GZ118" s="2275">
        <f>'Koncern BR'!AN32</f>
        <v>1416.6785608419998</v>
      </c>
      <c r="HA118" s="2275">
        <f>'Koncern BR'!AO32</f>
        <v>1472.0172893190729</v>
      </c>
      <c r="HB118" s="2275">
        <f>'Koncern BR'!AP32</f>
        <v>1449.1670470743088</v>
      </c>
      <c r="HC118" s="2275">
        <f>'Koncern BR'!AQ32</f>
        <v>1468.957004821531</v>
      </c>
      <c r="HD118" s="2275">
        <f>'Koncern BR'!AR32</f>
        <v>1477.8225599580487</v>
      </c>
      <c r="HE118" s="2275">
        <f>'Koncern BR'!AS32</f>
        <v>1495.0274563291398</v>
      </c>
      <c r="HF118" s="2275">
        <f>'Koncern BR'!AT32</f>
        <v>1588.2314030819521</v>
      </c>
      <c r="HG118" s="2275">
        <f>'Koncern BR'!AU32</f>
        <v>0</v>
      </c>
      <c r="HH118" s="2275">
        <f>'Koncern BR'!AV32</f>
        <v>0</v>
      </c>
      <c r="HJ118" s="2276">
        <f>HF118</f>
        <v>1588.2314030819521</v>
      </c>
      <c r="HK118" s="2276">
        <f>HB118</f>
        <v>1449.1670470743088</v>
      </c>
      <c r="HL118" s="2276">
        <f>HF118</f>
        <v>1588.2314030819521</v>
      </c>
      <c r="HM118" s="2276">
        <f>HB118</f>
        <v>1449.1670470743088</v>
      </c>
      <c r="HN118" s="2276">
        <f>HF118</f>
        <v>1588.2314030819521</v>
      </c>
      <c r="HO118" s="2276">
        <f>HD118</f>
        <v>1477.8225599580487</v>
      </c>
      <c r="HP118" s="2009"/>
    </row>
    <row r="119" spans="1:276" x14ac:dyDescent="0.2">
      <c r="CE119" s="242"/>
      <c r="CF119" s="242"/>
      <c r="CG119" s="242"/>
      <c r="CH119" s="242"/>
      <c r="CI119" s="242"/>
      <c r="GU119" s="1146" t="s">
        <v>362</v>
      </c>
      <c r="GV119" s="396"/>
      <c r="GW119" s="1578">
        <f>GW117/GW118</f>
        <v>1.1398909360394687E-2</v>
      </c>
      <c r="GX119" s="1578">
        <f t="shared" ref="GX119:HH119" si="650">GX117/GX118</f>
        <v>-2.0497291067623283E-3</v>
      </c>
      <c r="GY119" s="1578">
        <f t="shared" si="650"/>
        <v>5.827832617361902E-2</v>
      </c>
      <c r="GZ119" s="1578">
        <f t="shared" si="650"/>
        <v>3.99526057388487E-2</v>
      </c>
      <c r="HA119" s="1578">
        <f t="shared" si="650"/>
        <v>4.5244033805341977E-2</v>
      </c>
      <c r="HB119" s="1578">
        <f t="shared" si="650"/>
        <v>8.0045982438111479E-2</v>
      </c>
      <c r="HC119" s="1578">
        <f t="shared" si="650"/>
        <v>9.6599151325902785E-2</v>
      </c>
      <c r="HD119" s="1578">
        <f t="shared" si="650"/>
        <v>0.11760545867220602</v>
      </c>
      <c r="HE119" s="1578">
        <f t="shared" si="650"/>
        <v>0.10213859240748427</v>
      </c>
      <c r="HF119" s="1578">
        <f t="shared" si="650"/>
        <v>6.5544605022917105E-2</v>
      </c>
      <c r="HG119" s="1578" t="e">
        <f t="shared" si="650"/>
        <v>#DIV/0!</v>
      </c>
      <c r="HH119" s="1578" t="e">
        <f t="shared" si="650"/>
        <v>#DIV/0!</v>
      </c>
      <c r="HJ119" s="1578">
        <f t="shared" ref="HJ119:HO119" si="651">HJ117/HJ118</f>
        <v>6.5544605022917105E-2</v>
      </c>
      <c r="HK119" s="1578">
        <f t="shared" si="651"/>
        <v>8.0045982438111479E-2</v>
      </c>
      <c r="HL119" s="1578">
        <f t="shared" si="651"/>
        <v>6.5544605022917105E-2</v>
      </c>
      <c r="HM119" s="1578">
        <f t="shared" si="651"/>
        <v>8.0045982438111479E-2</v>
      </c>
      <c r="HN119" s="1578">
        <f t="shared" si="651"/>
        <v>6.5544605022917105E-2</v>
      </c>
      <c r="HO119" s="1578">
        <f t="shared" si="651"/>
        <v>0.11760545867220602</v>
      </c>
      <c r="HP119" s="2000"/>
    </row>
    <row r="120" spans="1:276" x14ac:dyDescent="0.2">
      <c r="CE120" s="242"/>
      <c r="CF120" s="242"/>
      <c r="CG120" s="242"/>
      <c r="CH120" s="242"/>
      <c r="CI120" s="242"/>
      <c r="GT120" s="363"/>
      <c r="GV120" s="396"/>
      <c r="GW120" s="1564"/>
      <c r="GX120" s="1564"/>
      <c r="GY120" s="1564"/>
      <c r="GZ120" s="1564"/>
      <c r="HA120" s="1564"/>
      <c r="HB120" s="1564"/>
      <c r="HC120" s="1564"/>
      <c r="HD120" s="1564"/>
      <c r="HE120" s="1564"/>
      <c r="HF120" s="1564"/>
      <c r="HG120" s="1564"/>
      <c r="HH120" s="1564"/>
      <c r="HP120" s="2009"/>
    </row>
    <row r="121" spans="1:276" x14ac:dyDescent="0.2">
      <c r="CE121" s="242"/>
      <c r="CF121" s="242"/>
      <c r="CG121" s="242"/>
      <c r="CH121" s="242"/>
      <c r="CI121" s="242"/>
      <c r="GT121" s="363"/>
      <c r="GU121" s="256"/>
      <c r="GV121" s="396"/>
      <c r="GW121" s="214">
        <f t="shared" ref="GW121:HH121" si="652">GW$28</f>
        <v>2403</v>
      </c>
      <c r="GX121" s="214">
        <f t="shared" si="652"/>
        <v>2406</v>
      </c>
      <c r="GY121" s="214">
        <f t="shared" si="652"/>
        <v>2409</v>
      </c>
      <c r="GZ121" s="214">
        <f t="shared" si="652"/>
        <v>2412</v>
      </c>
      <c r="HA121" s="214">
        <f t="shared" si="652"/>
        <v>2503</v>
      </c>
      <c r="HB121" s="214">
        <f t="shared" si="652"/>
        <v>2506</v>
      </c>
      <c r="HC121" s="214">
        <f t="shared" si="652"/>
        <v>2509</v>
      </c>
      <c r="HD121" s="214">
        <f t="shared" si="652"/>
        <v>2512</v>
      </c>
      <c r="HE121" s="214">
        <f t="shared" si="652"/>
        <v>2603</v>
      </c>
      <c r="HF121" s="214">
        <f t="shared" si="652"/>
        <v>2606</v>
      </c>
      <c r="HG121" s="214">
        <f t="shared" si="652"/>
        <v>2609</v>
      </c>
      <c r="HH121" s="214">
        <f t="shared" si="652"/>
        <v>2612</v>
      </c>
      <c r="HJ121" s="214" t="str">
        <f t="shared" ref="HJ121:HO121" si="653">HJ$10</f>
        <v>Kvartal 2</v>
      </c>
      <c r="HK121" s="214" t="str">
        <f t="shared" si="653"/>
        <v>Kvartal 2</v>
      </c>
      <c r="HL121" s="214" t="str">
        <f t="shared" si="653"/>
        <v>Kvartal 1-2</v>
      </c>
      <c r="HM121" s="214" t="str">
        <f t="shared" si="653"/>
        <v>Kvartal 1-2</v>
      </c>
      <c r="HN121" s="214" t="str">
        <f t="shared" si="653"/>
        <v>Kvartal 2, R12</v>
      </c>
      <c r="HO121" s="214" t="str">
        <f t="shared" si="653"/>
        <v>Helår</v>
      </c>
      <c r="HP121" s="2007"/>
    </row>
    <row r="122" spans="1:276" x14ac:dyDescent="0.2">
      <c r="CE122" s="242"/>
      <c r="CF122" s="242"/>
      <c r="CG122" s="242"/>
      <c r="CH122" s="242"/>
      <c r="CI122" s="242"/>
      <c r="GT122" s="363"/>
      <c r="GU122" s="1581"/>
      <c r="GV122" s="396"/>
      <c r="GW122" s="1124"/>
      <c r="GX122" s="1124"/>
      <c r="GY122" s="1124"/>
      <c r="GZ122" s="1124"/>
      <c r="HA122" s="1124"/>
      <c r="HB122" s="1124"/>
      <c r="HC122" s="1124"/>
      <c r="HD122" s="1124"/>
      <c r="HE122" s="1124"/>
      <c r="HF122" s="1124"/>
      <c r="HG122" s="1124"/>
      <c r="HH122" s="1124"/>
      <c r="HJ122" s="1124">
        <f t="shared" ref="HJ122:HO122" si="654">HJ$11</f>
        <v>2026</v>
      </c>
      <c r="HK122" s="1124">
        <f t="shared" si="654"/>
        <v>2025</v>
      </c>
      <c r="HL122" s="1124">
        <f t="shared" si="654"/>
        <v>2026</v>
      </c>
      <c r="HM122" s="1124">
        <f t="shared" si="654"/>
        <v>2025</v>
      </c>
      <c r="HN122" s="1124">
        <f t="shared" si="654"/>
        <v>2026</v>
      </c>
      <c r="HO122" s="1124">
        <f t="shared" si="654"/>
        <v>2025</v>
      </c>
      <c r="HP122" s="2007"/>
    </row>
    <row r="123" spans="1:276" x14ac:dyDescent="0.2">
      <c r="CE123" s="242"/>
      <c r="CF123" s="242"/>
      <c r="CG123" s="242"/>
      <c r="CH123" s="242"/>
      <c r="CI123" s="242"/>
      <c r="GT123" s="363"/>
      <c r="GU123" s="264" t="s">
        <v>425</v>
      </c>
      <c r="GV123" s="396"/>
      <c r="GW123" s="2090">
        <f>'Koncern BR'!AK41</f>
        <v>2374.1582806581546</v>
      </c>
      <c r="GX123" s="2090">
        <f>'Koncern BR'!AL41</f>
        <v>2393.5916504387696</v>
      </c>
      <c r="GY123" s="2090">
        <f>'Koncern BR'!AM41</f>
        <v>2334.2162052193848</v>
      </c>
      <c r="GZ123" s="2090">
        <f>'Koncern BR'!AN41</f>
        <v>2292.885593</v>
      </c>
      <c r="HA123" s="2090">
        <f>'Koncern BR'!AO41</f>
        <v>2409.1802132482026</v>
      </c>
      <c r="HB123" s="2090">
        <f>'Koncern BR'!AP41</f>
        <v>2420.739605887039</v>
      </c>
      <c r="HC123" s="2090">
        <f>'Koncern BR'!AQ41</f>
        <v>2416.9901823948753</v>
      </c>
      <c r="HD123" s="2090">
        <f>'Koncern BR'!AR41</f>
        <v>2361.585591886711</v>
      </c>
      <c r="HE123" s="2090">
        <f>'Koncern BR'!AS41</f>
        <v>2410.6166956286397</v>
      </c>
      <c r="HF123" s="2090">
        <f>'Koncern BR'!AT41</f>
        <v>2464.0078124457832</v>
      </c>
      <c r="HG123" s="2090">
        <f>'Koncern BR'!AU41</f>
        <v>0</v>
      </c>
      <c r="HH123" s="2090">
        <f>'Koncern BR'!AV41</f>
        <v>0</v>
      </c>
      <c r="HJ123" s="426"/>
      <c r="HK123" s="426"/>
      <c r="HL123" s="426"/>
      <c r="HM123" s="426"/>
      <c r="HN123" s="426"/>
      <c r="HO123" s="426"/>
      <c r="HP123" s="2009"/>
    </row>
    <row r="124" spans="1:276" x14ac:dyDescent="0.2">
      <c r="CE124" s="242"/>
      <c r="CF124" s="242"/>
      <c r="CG124" s="242"/>
      <c r="CH124" s="242"/>
      <c r="CI124" s="242"/>
      <c r="FN124" s="363"/>
      <c r="FO124" s="363"/>
      <c r="FP124" s="363"/>
      <c r="FQ124" s="363"/>
      <c r="FR124" s="363"/>
      <c r="FS124" s="363"/>
      <c r="FT124" s="363"/>
      <c r="FU124" s="363"/>
      <c r="FV124" s="363"/>
      <c r="FW124" s="363"/>
      <c r="FX124" s="363"/>
      <c r="FY124" s="363"/>
      <c r="FZ124" s="363"/>
      <c r="GA124" s="363"/>
      <c r="GB124" s="363"/>
      <c r="GC124" s="363"/>
      <c r="GD124" s="363"/>
      <c r="GE124" s="363"/>
      <c r="GF124" s="363"/>
      <c r="GG124" s="363"/>
      <c r="GH124" s="363"/>
      <c r="GI124" s="363"/>
      <c r="GJ124" s="363"/>
      <c r="GT124" s="363"/>
      <c r="GU124" s="2092" t="s">
        <v>431</v>
      </c>
      <c r="GV124" s="396"/>
      <c r="GW124" s="2090">
        <f>'Koncern BR'!AK36</f>
        <v>269.42460581557981</v>
      </c>
      <c r="GX124" s="2090">
        <f>'Koncern BR'!AL36</f>
        <v>274.25747999038657</v>
      </c>
      <c r="GY124" s="2090">
        <f>'Koncern BR'!AM36</f>
        <v>278.30233827519328</v>
      </c>
      <c r="GZ124" s="2090">
        <f>'Koncern BR'!AN36</f>
        <v>286.10703215799992</v>
      </c>
      <c r="HA124" s="2090">
        <f>'Koncern BR'!AO36</f>
        <v>289.86292392912975</v>
      </c>
      <c r="HB124" s="2090">
        <f>'Koncern BR'!AP36</f>
        <v>287.87255881273001</v>
      </c>
      <c r="HC124" s="2090">
        <f>'Koncern BR'!AQ36</f>
        <v>289.33317757334424</v>
      </c>
      <c r="HD124" s="2090">
        <f>'Koncern BR'!AR36</f>
        <v>294.66303192866252</v>
      </c>
      <c r="HE124" s="2090">
        <f>'Koncern BR'!AS36</f>
        <v>291.68923929949972</v>
      </c>
      <c r="HF124" s="2090">
        <f>'Koncern BR'!AT36</f>
        <v>300.57640936383132</v>
      </c>
      <c r="HG124" s="2090">
        <f>'Koncern BR'!AU36</f>
        <v>0</v>
      </c>
      <c r="HH124" s="2090">
        <f>'Koncern BR'!AV36</f>
        <v>0</v>
      </c>
      <c r="HJ124" s="264"/>
      <c r="HK124" s="264"/>
      <c r="HL124" s="264"/>
      <c r="HM124" s="264"/>
      <c r="HN124" s="264"/>
      <c r="HO124" s="264"/>
      <c r="HP124" s="2010"/>
    </row>
    <row r="125" spans="1:276" s="363" customFormat="1" x14ac:dyDescent="0.2">
      <c r="A125" s="242"/>
      <c r="B125" s="242"/>
      <c r="C125" s="242"/>
      <c r="D125" s="242"/>
      <c r="E125" s="243"/>
      <c r="F125" s="242"/>
      <c r="G125" s="242"/>
      <c r="H125" s="242"/>
      <c r="I125" s="242"/>
      <c r="J125" s="242"/>
      <c r="K125" s="242"/>
      <c r="L125" s="242"/>
      <c r="M125" s="242"/>
      <c r="N125" s="242"/>
      <c r="O125" s="242"/>
      <c r="P125" s="242"/>
      <c r="Q125" s="242"/>
      <c r="R125" s="242"/>
      <c r="S125" s="242"/>
      <c r="T125" s="244"/>
      <c r="U125" s="244"/>
      <c r="V125" s="244"/>
      <c r="W125" s="244"/>
      <c r="X125" s="244"/>
      <c r="Y125" s="244"/>
      <c r="Z125" s="244"/>
      <c r="AA125" s="244"/>
      <c r="AB125" s="244"/>
      <c r="AC125" s="244"/>
      <c r="AD125" s="244"/>
      <c r="AE125" s="244"/>
      <c r="AF125" s="242"/>
      <c r="AG125" s="242"/>
      <c r="AH125" s="242"/>
      <c r="AI125" s="242"/>
      <c r="AJ125" s="242"/>
      <c r="AK125" s="242"/>
      <c r="AL125" s="242"/>
      <c r="AM125" s="242"/>
      <c r="AN125" s="242"/>
      <c r="AO125" s="242"/>
      <c r="AP125" s="242"/>
      <c r="AQ125" s="242"/>
      <c r="AR125" s="242"/>
      <c r="AS125" s="242"/>
      <c r="AT125" s="242"/>
      <c r="AU125" s="242"/>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44"/>
      <c r="BR125" s="242"/>
      <c r="BS125" s="242"/>
      <c r="BT125" s="242"/>
      <c r="BU125" s="242"/>
      <c r="BV125" s="242"/>
      <c r="BW125" s="242"/>
      <c r="BX125" s="242"/>
      <c r="BY125" s="242"/>
      <c r="BZ125" s="242"/>
      <c r="CA125" s="242"/>
      <c r="CB125" s="242"/>
      <c r="CC125" s="242"/>
      <c r="CD125" s="242"/>
      <c r="CE125" s="242"/>
      <c r="CF125" s="242"/>
      <c r="CG125" s="242"/>
      <c r="CH125" s="242"/>
      <c r="CI125" s="242"/>
      <c r="CJ125" s="242"/>
      <c r="CK125" s="244"/>
      <c r="CL125" s="244"/>
      <c r="CM125" s="244"/>
      <c r="CN125" s="244"/>
      <c r="CO125" s="244"/>
      <c r="CP125" s="244"/>
      <c r="CQ125" s="244"/>
      <c r="CR125" s="244"/>
      <c r="CS125" s="244"/>
      <c r="CT125" s="244"/>
      <c r="CU125" s="244"/>
      <c r="CV125" s="244"/>
      <c r="CW125" s="244"/>
      <c r="CX125" s="244"/>
      <c r="CY125" s="244"/>
      <c r="CZ125" s="244"/>
      <c r="DA125" s="244"/>
      <c r="DB125" s="244"/>
      <c r="DC125" s="244"/>
      <c r="DD125" s="244"/>
      <c r="DE125" s="244"/>
      <c r="DF125" s="244"/>
      <c r="DG125" s="244"/>
      <c r="DH125" s="244"/>
      <c r="DI125" s="244"/>
      <c r="DJ125" s="242"/>
      <c r="DK125" s="242"/>
      <c r="DL125" s="242"/>
      <c r="DM125" s="242"/>
      <c r="DN125" s="242"/>
      <c r="DO125" s="242"/>
      <c r="DP125" s="242"/>
      <c r="DQ125" s="242"/>
      <c r="DR125" s="242"/>
      <c r="DS125" s="242"/>
      <c r="DT125" s="242"/>
      <c r="DU125" s="242"/>
      <c r="DV125" s="242"/>
      <c r="DW125" s="242"/>
      <c r="DX125" s="242"/>
      <c r="DY125" s="242"/>
      <c r="DZ125" s="242"/>
      <c r="EA125" s="242"/>
      <c r="EB125" s="242"/>
      <c r="EC125" s="242"/>
      <c r="ED125" s="242"/>
      <c r="EE125" s="242"/>
      <c r="EF125" s="242"/>
      <c r="EG125" s="242"/>
      <c r="EH125" s="242"/>
      <c r="EI125" s="242"/>
      <c r="EJ125" s="242"/>
      <c r="EK125" s="242"/>
      <c r="EL125" s="242"/>
      <c r="EM125" s="242"/>
      <c r="EN125" s="242"/>
      <c r="EO125" s="242"/>
      <c r="EP125" s="242"/>
      <c r="EQ125" s="242"/>
      <c r="ER125" s="242"/>
      <c r="ES125" s="242"/>
      <c r="ET125" s="242"/>
      <c r="EU125" s="242"/>
      <c r="EV125" s="242"/>
      <c r="EW125" s="242"/>
      <c r="EX125" s="242"/>
      <c r="EY125" s="242"/>
      <c r="EZ125" s="242"/>
      <c r="FA125" s="242"/>
      <c r="FB125" s="242"/>
      <c r="FC125" s="242"/>
      <c r="FD125" s="242"/>
      <c r="FE125" s="242"/>
      <c r="FF125" s="242"/>
      <c r="FG125" s="242"/>
      <c r="FH125" s="242"/>
      <c r="FI125" s="242"/>
      <c r="FJ125" s="242"/>
      <c r="FK125" s="242"/>
      <c r="FL125" s="242"/>
      <c r="FM125" s="242"/>
      <c r="FN125" s="242"/>
      <c r="FO125" s="242"/>
      <c r="FP125" s="242"/>
      <c r="FQ125" s="242"/>
      <c r="FR125" s="242"/>
      <c r="FS125" s="242"/>
      <c r="FT125" s="242"/>
      <c r="FU125" s="242"/>
      <c r="FV125" s="242"/>
      <c r="FW125" s="242"/>
      <c r="FX125" s="242"/>
      <c r="FY125" s="242"/>
      <c r="FZ125" s="242"/>
      <c r="GA125" s="242"/>
      <c r="GB125" s="242"/>
      <c r="GC125" s="242"/>
      <c r="GD125" s="242"/>
      <c r="GE125" s="242"/>
      <c r="GF125" s="242"/>
      <c r="GG125" s="242"/>
      <c r="GH125" s="242"/>
      <c r="GI125" s="242"/>
      <c r="GJ125" s="242"/>
      <c r="GK125" s="242"/>
      <c r="GL125" s="242"/>
      <c r="GM125" s="242"/>
      <c r="GN125" s="242"/>
      <c r="GO125" s="242"/>
      <c r="GP125" s="242"/>
      <c r="GQ125" s="242"/>
      <c r="GR125" s="242"/>
      <c r="GS125" s="242"/>
      <c r="GT125" s="242"/>
      <c r="GU125" s="2093" t="s">
        <v>432</v>
      </c>
      <c r="GV125" s="396"/>
      <c r="GW125" s="2091">
        <f>'Koncern BR'!AK39</f>
        <v>610.9</v>
      </c>
      <c r="GX125" s="2091">
        <f>'Koncern BR'!AL39</f>
        <v>615.1</v>
      </c>
      <c r="GY125" s="2091">
        <f>'Koncern BR'!AM39</f>
        <v>532.29999999999995</v>
      </c>
      <c r="GZ125" s="2091">
        <f>'Koncern BR'!AN39</f>
        <v>464.8</v>
      </c>
      <c r="HA125" s="2091">
        <f>'Koncern BR'!AO39</f>
        <v>530.79999999999995</v>
      </c>
      <c r="HB125" s="2091">
        <f>'Koncern BR'!AP39</f>
        <v>529.20000000000005</v>
      </c>
      <c r="HC125" s="2091">
        <f>'Koncern BR'!AQ39</f>
        <v>460.3</v>
      </c>
      <c r="HD125" s="2091">
        <f>'Koncern BR'!AR39</f>
        <v>365.3</v>
      </c>
      <c r="HE125" s="2091">
        <f>'Koncern BR'!AS39</f>
        <v>434.2</v>
      </c>
      <c r="HF125" s="2091">
        <f>'Koncern BR'!AT39</f>
        <v>456.4</v>
      </c>
      <c r="HG125" s="2091">
        <f>'Koncern BR'!AU39</f>
        <v>0</v>
      </c>
      <c r="HH125" s="2091">
        <f>'Koncern BR'!AV39</f>
        <v>0</v>
      </c>
      <c r="HI125" s="242"/>
      <c r="HJ125" s="264"/>
      <c r="HK125" s="264"/>
      <c r="HL125" s="264"/>
      <c r="HM125" s="264"/>
      <c r="HN125" s="264"/>
      <c r="HO125" s="264"/>
      <c r="HP125" s="2010"/>
      <c r="HQ125" s="242"/>
      <c r="HR125" s="242"/>
      <c r="HS125" s="242"/>
      <c r="HT125" s="242"/>
      <c r="HU125" s="242"/>
      <c r="HV125" s="242"/>
      <c r="HW125" s="242"/>
      <c r="HX125" s="242"/>
      <c r="HY125" s="242"/>
      <c r="HZ125" s="891"/>
      <c r="IA125" s="242"/>
      <c r="IB125" s="244"/>
      <c r="IC125" s="244"/>
      <c r="ID125" s="244"/>
      <c r="IE125" s="244"/>
      <c r="IF125" s="244"/>
      <c r="IG125" s="244"/>
      <c r="IH125" s="242"/>
      <c r="II125" s="242"/>
      <c r="JG125" s="442"/>
      <c r="JH125" s="442"/>
      <c r="JI125" s="442"/>
      <c r="JN125" s="442"/>
      <c r="JO125" s="442"/>
      <c r="JP125" s="442"/>
    </row>
    <row r="126" spans="1:276" x14ac:dyDescent="0.2">
      <c r="A126" s="363"/>
      <c r="CE126" s="242"/>
      <c r="CF126" s="242"/>
      <c r="CG126" s="242"/>
      <c r="CH126" s="242"/>
      <c r="CI126" s="242"/>
      <c r="FM126" s="363"/>
      <c r="GU126" s="2277" t="s">
        <v>433</v>
      </c>
      <c r="GV126" s="396"/>
      <c r="GW126" s="1143">
        <f>GW123-GW124-GW125</f>
        <v>1493.8336748425745</v>
      </c>
      <c r="GX126" s="1143">
        <f t="shared" ref="GX126:HH126" si="655">GX123-GX124-GX125</f>
        <v>1504.2341704483833</v>
      </c>
      <c r="GY126" s="1143">
        <f t="shared" si="655"/>
        <v>1523.6138669441918</v>
      </c>
      <c r="GZ126" s="1143">
        <f t="shared" si="655"/>
        <v>1541.978560842</v>
      </c>
      <c r="HA126" s="1143">
        <f t="shared" si="655"/>
        <v>1588.5172893190727</v>
      </c>
      <c r="HB126" s="1143">
        <f t="shared" si="655"/>
        <v>1603.667047074309</v>
      </c>
      <c r="HC126" s="1143">
        <f t="shared" si="655"/>
        <v>1667.3570048215313</v>
      </c>
      <c r="HD126" s="1143">
        <f t="shared" si="655"/>
        <v>1701.6225599580487</v>
      </c>
      <c r="HE126" s="1143">
        <f t="shared" si="655"/>
        <v>1684.7274563291401</v>
      </c>
      <c r="HF126" s="1143">
        <f t="shared" si="655"/>
        <v>1707.0314030819518</v>
      </c>
      <c r="HG126" s="1143">
        <f t="shared" si="655"/>
        <v>0</v>
      </c>
      <c r="HH126" s="1143">
        <f t="shared" si="655"/>
        <v>0</v>
      </c>
      <c r="HJ126" s="264"/>
      <c r="HK126" s="264"/>
      <c r="HL126" s="264"/>
      <c r="HM126" s="264"/>
      <c r="HN126" s="264"/>
      <c r="HO126" s="264"/>
      <c r="HP126" s="2011"/>
      <c r="II126" s="363"/>
    </row>
    <row r="127" spans="1:276" x14ac:dyDescent="0.2">
      <c r="BD127" s="363"/>
      <c r="CE127" s="242"/>
      <c r="CF127" s="242"/>
      <c r="CG127" s="242"/>
      <c r="CH127" s="242"/>
      <c r="CI127" s="363"/>
      <c r="CJ127" s="363"/>
      <c r="CK127" s="441"/>
      <c r="CL127" s="441"/>
      <c r="CM127" s="441"/>
      <c r="CN127" s="441"/>
      <c r="CO127" s="441"/>
      <c r="CP127" s="441"/>
      <c r="CQ127" s="441"/>
      <c r="CR127" s="441"/>
      <c r="CS127" s="441"/>
      <c r="CT127" s="441"/>
      <c r="EX127" s="363"/>
      <c r="EY127" s="363"/>
      <c r="EZ127" s="363"/>
      <c r="FA127" s="363"/>
      <c r="FB127" s="363"/>
      <c r="FC127" s="363"/>
      <c r="FD127" s="363"/>
      <c r="FE127" s="363"/>
      <c r="FF127" s="363"/>
      <c r="FG127" s="363"/>
      <c r="FH127" s="363"/>
      <c r="FI127" s="363"/>
      <c r="FJ127" s="363"/>
      <c r="FK127" s="363"/>
      <c r="FL127" s="363"/>
      <c r="GV127" s="396"/>
      <c r="GW127" s="242"/>
      <c r="GX127" s="242"/>
      <c r="GY127" s="242"/>
      <c r="GZ127" s="242"/>
      <c r="HA127" s="242"/>
      <c r="HB127" s="242"/>
      <c r="HC127" s="242"/>
      <c r="HD127" s="242"/>
      <c r="HE127" s="242"/>
      <c r="HF127" s="242"/>
      <c r="HG127" s="242"/>
      <c r="HH127" s="242"/>
      <c r="HP127" s="2009"/>
    </row>
    <row r="128" spans="1:276" x14ac:dyDescent="0.2">
      <c r="B128" s="363"/>
      <c r="C128" s="363"/>
      <c r="AV128" s="363"/>
      <c r="AW128" s="363"/>
      <c r="AX128" s="363"/>
      <c r="AY128" s="363"/>
      <c r="AZ128" s="363"/>
      <c r="BA128" s="363"/>
      <c r="BB128" s="363"/>
      <c r="BC128" s="363"/>
      <c r="CE128" s="242"/>
      <c r="CF128" s="242"/>
      <c r="CG128" s="242"/>
      <c r="CH128" s="242"/>
      <c r="CI128" s="242"/>
      <c r="GU128" s="2092" t="s">
        <v>757</v>
      </c>
      <c r="GV128" s="396"/>
      <c r="GW128" s="2090">
        <f t="shared" ref="GW128:HH128" si="656">CK29</f>
        <v>11.302500000000016</v>
      </c>
      <c r="GX128" s="2090">
        <f t="shared" si="656"/>
        <v>29.70250000000005</v>
      </c>
      <c r="GY128" s="2090">
        <f t="shared" si="656"/>
        <v>0.50249999999982009</v>
      </c>
      <c r="GZ128" s="2090">
        <f t="shared" si="656"/>
        <v>-1.9974999999997705</v>
      </c>
      <c r="HA128" s="2090">
        <f t="shared" si="656"/>
        <v>34.275000000000063</v>
      </c>
      <c r="HB128" s="2090">
        <f t="shared" si="656"/>
        <v>10.874999999999797</v>
      </c>
      <c r="HC128" s="2090">
        <f t="shared" si="656"/>
        <v>2.4750000000000836</v>
      </c>
      <c r="HD128" s="2090">
        <f t="shared" si="656"/>
        <v>-3.3249999999998927</v>
      </c>
      <c r="HE128" s="2090">
        <f t="shared" si="656"/>
        <v>22.899357999999975</v>
      </c>
      <c r="HF128" s="2090">
        <f t="shared" si="656"/>
        <v>62.872856000000112</v>
      </c>
      <c r="HG128" s="2090">
        <f t="shared" si="656"/>
        <v>-15.000000000000046</v>
      </c>
      <c r="HH128" s="2090">
        <f t="shared" si="656"/>
        <v>21.400000000000095</v>
      </c>
      <c r="HJ128" s="264"/>
      <c r="HK128" s="264"/>
      <c r="HL128" s="264"/>
      <c r="HM128" s="264"/>
      <c r="HN128" s="264"/>
      <c r="HO128" s="264"/>
      <c r="HP128" s="2000"/>
    </row>
    <row r="129" spans="4:242" x14ac:dyDescent="0.2">
      <c r="BE129" s="363"/>
      <c r="BF129" s="363"/>
      <c r="BG129" s="363"/>
      <c r="BH129" s="363"/>
      <c r="BI129" s="363"/>
      <c r="BJ129" s="363"/>
      <c r="BK129" s="363"/>
      <c r="BL129" s="363"/>
      <c r="BM129" s="363"/>
      <c r="BN129" s="363"/>
      <c r="BO129" s="363"/>
      <c r="BP129" s="363"/>
      <c r="BQ129" s="441"/>
      <c r="BR129" s="363"/>
      <c r="BS129" s="363"/>
      <c r="BT129" s="363"/>
      <c r="BU129" s="363"/>
      <c r="BV129" s="363"/>
      <c r="BW129" s="363"/>
      <c r="BX129" s="363"/>
      <c r="BY129" s="363"/>
      <c r="BZ129" s="363"/>
      <c r="CA129" s="363"/>
      <c r="CB129" s="363"/>
      <c r="CC129" s="363"/>
      <c r="CD129" s="363"/>
      <c r="CE129" s="363"/>
      <c r="CF129" s="363"/>
      <c r="CG129" s="363"/>
      <c r="CH129" s="363"/>
      <c r="CI129" s="242"/>
      <c r="CU129" s="441"/>
      <c r="CV129" s="441"/>
      <c r="CW129" s="441"/>
      <c r="CX129" s="441"/>
      <c r="CY129" s="441"/>
      <c r="CZ129" s="441"/>
      <c r="DA129" s="441"/>
      <c r="DB129" s="441"/>
      <c r="DC129" s="441"/>
      <c r="DD129" s="441"/>
      <c r="DE129" s="441"/>
      <c r="DF129" s="441"/>
      <c r="DG129" s="441"/>
      <c r="DH129" s="441"/>
      <c r="DI129" s="441"/>
      <c r="DJ129" s="363"/>
      <c r="DK129" s="363"/>
      <c r="DL129" s="363"/>
      <c r="DM129" s="363"/>
      <c r="DN129" s="363"/>
      <c r="DO129" s="363"/>
      <c r="DP129" s="363"/>
      <c r="DQ129" s="363"/>
      <c r="DR129" s="363"/>
      <c r="DS129" s="363"/>
      <c r="DT129" s="363"/>
      <c r="DU129" s="363"/>
      <c r="DV129" s="363"/>
      <c r="DW129" s="363"/>
      <c r="DX129" s="363"/>
      <c r="DY129" s="363"/>
      <c r="DZ129" s="363"/>
      <c r="EA129" s="363"/>
      <c r="EB129" s="363"/>
      <c r="EC129" s="363"/>
      <c r="ED129" s="363"/>
      <c r="EE129" s="363"/>
      <c r="EF129" s="363"/>
      <c r="EG129" s="363"/>
      <c r="EH129" s="363"/>
      <c r="EI129" s="363"/>
      <c r="EJ129" s="363"/>
      <c r="EK129" s="363"/>
      <c r="EL129" s="363"/>
      <c r="EM129" s="363"/>
      <c r="EN129" s="363"/>
      <c r="EO129" s="363"/>
      <c r="EP129" s="363"/>
      <c r="EQ129" s="363"/>
      <c r="ER129" s="363"/>
      <c r="GU129" s="2092" t="s">
        <v>755</v>
      </c>
      <c r="GV129" s="396"/>
      <c r="GW129" s="2090">
        <f>SUM($GW128:GW128)</f>
        <v>11.302500000000016</v>
      </c>
      <c r="GX129" s="2090">
        <f>SUM($GW128:GX128)</f>
        <v>41.005000000000067</v>
      </c>
      <c r="GY129" s="2090">
        <f>SUM($GW128:GY128)</f>
        <v>41.507499999999887</v>
      </c>
      <c r="GZ129" s="2090">
        <f>SUM($GW128:GZ128)</f>
        <v>39.510000000000119</v>
      </c>
      <c r="HA129" s="2090">
        <f>SUM($HA128:HA128)</f>
        <v>34.275000000000063</v>
      </c>
      <c r="HB129" s="2090">
        <f>SUM($HA128:HB128)</f>
        <v>45.149999999999864</v>
      </c>
      <c r="HC129" s="2090">
        <f>SUM($HA128:HC128)</f>
        <v>47.62499999999995</v>
      </c>
      <c r="HD129" s="2090">
        <f>SUM($HA128:HD128)</f>
        <v>44.300000000000054</v>
      </c>
      <c r="HE129" s="2090">
        <f>SUM($HE128:HE128)</f>
        <v>22.899357999999975</v>
      </c>
      <c r="HF129" s="2090">
        <f>SUM($HE128:HF128)</f>
        <v>85.772214000000091</v>
      </c>
      <c r="HG129" s="2090">
        <f>SUM($HE128:HG128)</f>
        <v>70.772214000000048</v>
      </c>
      <c r="HH129" s="2090">
        <f>SUM($HE128:HH128)</f>
        <v>92.172214000000139</v>
      </c>
      <c r="HJ129" s="264"/>
      <c r="HK129" s="264"/>
      <c r="HL129" s="264"/>
      <c r="HM129" s="264"/>
      <c r="HN129" s="264"/>
      <c r="HO129" s="264"/>
      <c r="HP129" s="2000" t="s">
        <v>761</v>
      </c>
    </row>
    <row r="130" spans="4:242" x14ac:dyDescent="0.2">
      <c r="CE130" s="242"/>
      <c r="CF130" s="242"/>
      <c r="CG130" s="242"/>
      <c r="CH130" s="242"/>
      <c r="CI130" s="242"/>
      <c r="ES130" s="363"/>
      <c r="ET130" s="363"/>
      <c r="EU130" s="363"/>
      <c r="GU130" s="2092"/>
      <c r="GV130" s="396"/>
      <c r="GW130" s="2090"/>
      <c r="GX130" s="2090"/>
      <c r="GY130" s="2090"/>
      <c r="GZ130" s="2090"/>
      <c r="HA130" s="2090"/>
      <c r="HB130" s="2090"/>
      <c r="HC130" s="2090"/>
      <c r="HD130" s="2090"/>
      <c r="HE130" s="2090"/>
      <c r="HF130" s="2090"/>
      <c r="HG130" s="2090"/>
      <c r="HH130" s="2090"/>
      <c r="HJ130" s="264"/>
      <c r="HK130" s="264"/>
      <c r="HL130" s="264"/>
      <c r="HM130" s="264"/>
      <c r="HN130" s="264"/>
      <c r="HO130" s="264"/>
      <c r="HP130" s="2000"/>
    </row>
    <row r="131" spans="4:242" x14ac:dyDescent="0.2">
      <c r="CE131" s="242"/>
      <c r="CF131" s="242"/>
      <c r="CG131" s="242"/>
      <c r="CH131" s="242"/>
      <c r="CI131" s="242"/>
      <c r="EV131" s="363"/>
      <c r="GK131" s="363"/>
      <c r="GL131" s="363"/>
      <c r="GM131" s="363"/>
      <c r="GN131" s="363"/>
      <c r="GO131" s="363"/>
      <c r="GP131" s="363"/>
      <c r="GQ131" s="363"/>
      <c r="GR131" s="363"/>
      <c r="GU131" s="2092" t="s">
        <v>758</v>
      </c>
      <c r="GV131" s="396"/>
      <c r="GW131" s="2269">
        <f>'Räntekostnader finansinst'!E24/1000</f>
        <v>1.9794301099999998</v>
      </c>
      <c r="GX131" s="2269">
        <f>'Räntekostnader finansinst'!F24/1000</f>
        <v>2.15942765</v>
      </c>
      <c r="GY131" s="2269">
        <f>'Räntekostnader finansinst'!G24/1000</f>
        <v>2.02239207</v>
      </c>
      <c r="GZ131" s="2269">
        <f>'Räntekostnader finansinst'!H24/1000</f>
        <v>0</v>
      </c>
      <c r="HA131" s="2269">
        <f>'Räntekostnader finansinst'!I24/1000</f>
        <v>1.51217991</v>
      </c>
      <c r="HB131" s="2269">
        <f>'Räntekostnader finansinst'!J24/1000</f>
        <v>1.34021302</v>
      </c>
      <c r="HC131" s="2269">
        <f>'Räntekostnader finansinst'!K24/1000</f>
        <v>1.2307499000000002</v>
      </c>
      <c r="HD131" s="2269">
        <f>'Räntekostnader finansinst'!L24/1000</f>
        <v>2.1039480499999996</v>
      </c>
      <c r="HE131" s="2269">
        <f>'Räntekostnader finansinst'!M24/1000</f>
        <v>1.9461505800000001</v>
      </c>
      <c r="HF131" s="2269">
        <f>'Räntekostnader finansinst'!N24/1000</f>
        <v>2.3421331799999994</v>
      </c>
      <c r="HG131" s="2269" t="e">
        <f>'Räntekostnader finansinst'!O24/1000</f>
        <v>#N/A</v>
      </c>
      <c r="HH131" s="2269" t="e">
        <f>'Räntekostnader finansinst'!P24/1000</f>
        <v>#N/A</v>
      </c>
      <c r="HJ131" s="264"/>
      <c r="HK131" s="264"/>
      <c r="HL131" s="264"/>
      <c r="HM131" s="264"/>
      <c r="HN131" s="264"/>
      <c r="HO131" s="264"/>
      <c r="HP131" s="2000"/>
    </row>
    <row r="132" spans="4:242" x14ac:dyDescent="0.2">
      <c r="D132" s="363"/>
      <c r="E132" s="363"/>
      <c r="F132" s="363"/>
      <c r="G132" s="363"/>
      <c r="H132" s="363"/>
      <c r="I132" s="363"/>
      <c r="J132" s="363"/>
      <c r="K132" s="363"/>
      <c r="L132" s="363"/>
      <c r="M132" s="363"/>
      <c r="N132" s="363"/>
      <c r="O132" s="363"/>
      <c r="P132" s="363"/>
      <c r="Q132" s="363"/>
      <c r="R132" s="363"/>
      <c r="S132" s="363"/>
      <c r="T132" s="441"/>
      <c r="U132" s="441"/>
      <c r="V132" s="441"/>
      <c r="W132" s="441"/>
      <c r="X132" s="441"/>
      <c r="Y132" s="441"/>
      <c r="Z132" s="441"/>
      <c r="AA132" s="441"/>
      <c r="AB132" s="441"/>
      <c r="AC132" s="441"/>
      <c r="AD132" s="441"/>
      <c r="AE132" s="441"/>
      <c r="AF132" s="363"/>
      <c r="AG132" s="363"/>
      <c r="AH132" s="363"/>
      <c r="AI132" s="363"/>
      <c r="AJ132" s="363"/>
      <c r="AK132" s="363"/>
      <c r="AL132" s="363"/>
      <c r="AM132" s="363"/>
      <c r="AN132" s="363"/>
      <c r="AO132" s="363"/>
      <c r="AP132" s="363"/>
      <c r="AQ132" s="363"/>
      <c r="AR132" s="363"/>
      <c r="AS132" s="363"/>
      <c r="AT132" s="363"/>
      <c r="AU132" s="363"/>
      <c r="CE132" s="242"/>
      <c r="CF132" s="242"/>
      <c r="CG132" s="242"/>
      <c r="CH132" s="242"/>
      <c r="CI132" s="242"/>
      <c r="EW132" s="363"/>
      <c r="GU132" s="2092" t="s">
        <v>756</v>
      </c>
      <c r="GV132" s="396"/>
      <c r="GW132" s="2090">
        <f>SUM($GW131:GW131)</f>
        <v>1.9794301099999998</v>
      </c>
      <c r="GX132" s="2090">
        <f>SUM($GW131:GX131)</f>
        <v>4.1388577599999996</v>
      </c>
      <c r="GY132" s="2090">
        <f>SUM($GW131:GY131)</f>
        <v>6.1612498299999992</v>
      </c>
      <c r="GZ132" s="2090">
        <f>SUM($GW131:GZ131)</f>
        <v>6.1612498299999992</v>
      </c>
      <c r="HA132" s="2090">
        <f>SUM($HA131:HA131)</f>
        <v>1.51217991</v>
      </c>
      <c r="HB132" s="2090">
        <f>SUM($HA131:HB131)</f>
        <v>2.8523929299999997</v>
      </c>
      <c r="HC132" s="2090">
        <f>SUM($HA131:HC131)</f>
        <v>4.0831428299999999</v>
      </c>
      <c r="HD132" s="2090">
        <f>SUM($HA131:HD131)</f>
        <v>6.1870908799999995</v>
      </c>
      <c r="HE132" s="2090">
        <f>SUM($HE131:HE131)</f>
        <v>1.9461505800000001</v>
      </c>
      <c r="HF132" s="2090">
        <f>SUM($HE131:HF131)</f>
        <v>4.2882837599999997</v>
      </c>
      <c r="HG132" s="2090" t="e">
        <f>SUM($HE131:HG131)</f>
        <v>#N/A</v>
      </c>
      <c r="HH132" s="2090" t="e">
        <f>SUM($HE131:HH131)</f>
        <v>#N/A</v>
      </c>
      <c r="HJ132" s="264"/>
      <c r="HK132" s="264"/>
      <c r="HL132" s="264"/>
      <c r="HM132" s="264"/>
      <c r="HN132" s="264"/>
      <c r="HO132" s="264"/>
      <c r="HP132" s="2000" t="s">
        <v>761</v>
      </c>
    </row>
    <row r="133" spans="4:242" x14ac:dyDescent="0.2">
      <c r="CE133" s="242"/>
      <c r="CF133" s="242"/>
      <c r="CG133" s="242"/>
      <c r="CH133" s="242"/>
      <c r="CI133" s="242"/>
      <c r="GU133" s="2092"/>
      <c r="GV133" s="396"/>
      <c r="GW133" s="2090"/>
      <c r="GX133" s="2090"/>
      <c r="GY133" s="2090"/>
      <c r="GZ133" s="2090"/>
      <c r="HA133" s="2090"/>
      <c r="HB133" s="2090"/>
      <c r="HC133" s="2090"/>
      <c r="HD133" s="2090"/>
      <c r="HE133" s="2090"/>
      <c r="HF133" s="2090"/>
      <c r="HG133" s="2090"/>
      <c r="HH133" s="2090"/>
      <c r="HJ133" s="264"/>
      <c r="HK133" s="264"/>
      <c r="HL133" s="264"/>
      <c r="HM133" s="264"/>
      <c r="HN133" s="264"/>
      <c r="HO133" s="264"/>
      <c r="HP133" s="2000"/>
      <c r="IH133" s="363"/>
    </row>
    <row r="134" spans="4:242" x14ac:dyDescent="0.2">
      <c r="CE134" s="242"/>
      <c r="CF134" s="242"/>
      <c r="CG134" s="242"/>
      <c r="CH134" s="242"/>
      <c r="CI134" s="242"/>
      <c r="GU134" s="2278" t="s">
        <v>797</v>
      </c>
      <c r="GV134" s="2318"/>
      <c r="GW134" s="2279">
        <f>GW128+GW131</f>
        <v>13.281930110000015</v>
      </c>
      <c r="GX134" s="2279">
        <f t="shared" ref="GX134:HH134" si="657">GX128+GX131</f>
        <v>31.861927650000052</v>
      </c>
      <c r="GY134" s="2279">
        <f t="shared" si="657"/>
        <v>2.5248920699998201</v>
      </c>
      <c r="GZ134" s="2279">
        <f t="shared" si="657"/>
        <v>-1.9974999999997705</v>
      </c>
      <c r="HA134" s="2279">
        <f t="shared" si="657"/>
        <v>35.787179910000063</v>
      </c>
      <c r="HB134" s="2279">
        <f t="shared" si="657"/>
        <v>12.215213019999798</v>
      </c>
      <c r="HC134" s="2279">
        <f t="shared" si="657"/>
        <v>3.7057499000000838</v>
      </c>
      <c r="HD134" s="2279">
        <f t="shared" si="657"/>
        <v>-1.2210519499998931</v>
      </c>
      <c r="HE134" s="2279">
        <f t="shared" si="657"/>
        <v>24.845508579999976</v>
      </c>
      <c r="HF134" s="2279">
        <f t="shared" si="657"/>
        <v>65.214989180000117</v>
      </c>
      <c r="HG134" s="2279" t="e">
        <f t="shared" si="657"/>
        <v>#N/A</v>
      </c>
      <c r="HH134" s="2279" t="e">
        <f t="shared" si="657"/>
        <v>#N/A</v>
      </c>
      <c r="HI134" s="363"/>
      <c r="HJ134" s="2280">
        <f>HF134</f>
        <v>65.214989180000117</v>
      </c>
      <c r="HK134" s="2280">
        <f>HB134</f>
        <v>12.215213019999798</v>
      </c>
      <c r="HL134" s="2280"/>
      <c r="HM134" s="2280"/>
      <c r="HN134" s="2280"/>
      <c r="HO134" s="2280"/>
      <c r="HP134" s="2000"/>
    </row>
    <row r="135" spans="4:242" x14ac:dyDescent="0.2">
      <c r="CE135" s="242"/>
      <c r="CF135" s="242"/>
      <c r="CG135" s="242"/>
      <c r="CH135" s="242"/>
      <c r="CI135" s="242"/>
      <c r="GU135" s="2278" t="s">
        <v>759</v>
      </c>
      <c r="GV135" s="2318"/>
      <c r="GW135" s="2279">
        <f>GW129+GW132</f>
        <v>13.281930110000015</v>
      </c>
      <c r="GX135" s="2279">
        <f t="shared" ref="GX135:HH135" si="658">GX129+GX132</f>
        <v>45.143857760000067</v>
      </c>
      <c r="GY135" s="2279">
        <f t="shared" si="658"/>
        <v>47.668749829999882</v>
      </c>
      <c r="GZ135" s="2279">
        <f t="shared" si="658"/>
        <v>45.671249830000122</v>
      </c>
      <c r="HA135" s="2279">
        <f t="shared" si="658"/>
        <v>35.787179910000063</v>
      </c>
      <c r="HB135" s="2279">
        <f t="shared" si="658"/>
        <v>48.002392929999864</v>
      </c>
      <c r="HC135" s="2279">
        <f t="shared" si="658"/>
        <v>51.70814282999995</v>
      </c>
      <c r="HD135" s="2279">
        <f t="shared" si="658"/>
        <v>50.487090880000054</v>
      </c>
      <c r="HE135" s="2279">
        <f t="shared" si="658"/>
        <v>24.845508579999976</v>
      </c>
      <c r="HF135" s="2279">
        <f t="shared" si="658"/>
        <v>90.060497760000089</v>
      </c>
      <c r="HG135" s="2279" t="e">
        <f t="shared" si="658"/>
        <v>#N/A</v>
      </c>
      <c r="HH135" s="2279" t="e">
        <f t="shared" si="658"/>
        <v>#N/A</v>
      </c>
      <c r="HJ135" s="2280"/>
      <c r="HK135" s="2280"/>
      <c r="HL135" s="2280"/>
      <c r="HM135" s="2280"/>
      <c r="HN135" s="2280"/>
      <c r="HO135" s="2280"/>
      <c r="HP135" s="2000"/>
    </row>
    <row r="136" spans="4:242" x14ac:dyDescent="0.2">
      <c r="CE136" s="242"/>
      <c r="CF136" s="242"/>
      <c r="CG136" s="242"/>
      <c r="CH136" s="242"/>
      <c r="CI136" s="242"/>
      <c r="GU136" s="2092"/>
      <c r="GV136" s="396"/>
      <c r="GW136" s="2090"/>
      <c r="GX136" s="2090"/>
      <c r="GY136" s="2090"/>
      <c r="GZ136" s="2090"/>
      <c r="HA136" s="2090"/>
      <c r="HB136" s="2090"/>
      <c r="HC136" s="2090"/>
      <c r="HD136" s="2090"/>
      <c r="HE136" s="2090"/>
      <c r="HF136" s="2090"/>
      <c r="HG136" s="2090"/>
      <c r="HH136" s="2090"/>
      <c r="HJ136" s="264"/>
      <c r="HK136" s="264"/>
      <c r="HL136" s="264"/>
      <c r="HM136" s="264"/>
      <c r="HN136" s="264"/>
      <c r="HO136" s="264"/>
      <c r="HP136" s="2000"/>
    </row>
    <row r="137" spans="4:242" x14ac:dyDescent="0.2">
      <c r="CE137" s="242"/>
      <c r="CF137" s="242"/>
      <c r="CG137" s="242"/>
      <c r="CH137" s="242"/>
      <c r="CI137" s="242"/>
      <c r="GU137" s="2277" t="s">
        <v>759</v>
      </c>
      <c r="GV137" s="396"/>
      <c r="GW137" s="2281">
        <f>GW135</f>
        <v>13.281930110000015</v>
      </c>
      <c r="GX137" s="2281">
        <f t="shared" ref="GX137:HH137" si="659">GX135</f>
        <v>45.143857760000067</v>
      </c>
      <c r="GY137" s="2281">
        <f t="shared" si="659"/>
        <v>47.668749829999882</v>
      </c>
      <c r="GZ137" s="2281">
        <f t="shared" si="659"/>
        <v>45.671249830000122</v>
      </c>
      <c r="HA137" s="2281">
        <f t="shared" si="659"/>
        <v>35.787179910000063</v>
      </c>
      <c r="HB137" s="2281">
        <f t="shared" si="659"/>
        <v>48.002392929999864</v>
      </c>
      <c r="HC137" s="2281">
        <f t="shared" si="659"/>
        <v>51.70814282999995</v>
      </c>
      <c r="HD137" s="2281">
        <f t="shared" si="659"/>
        <v>50.487090880000054</v>
      </c>
      <c r="HE137" s="2281">
        <f t="shared" si="659"/>
        <v>24.845508579999976</v>
      </c>
      <c r="HF137" s="2281">
        <f t="shared" si="659"/>
        <v>90.060497760000089</v>
      </c>
      <c r="HG137" s="2281" t="e">
        <f t="shared" si="659"/>
        <v>#N/A</v>
      </c>
      <c r="HH137" s="2281" t="e">
        <f t="shared" si="659"/>
        <v>#N/A</v>
      </c>
      <c r="HJ137" s="2281">
        <f>HJ134</f>
        <v>65.214989180000117</v>
      </c>
      <c r="HK137" s="2281">
        <f>HK134</f>
        <v>12.215213019999798</v>
      </c>
      <c r="HL137" s="2454">
        <f>HF137</f>
        <v>90.060497760000089</v>
      </c>
      <c r="HM137" s="2454">
        <f>HB137</f>
        <v>48.002392929999864</v>
      </c>
      <c r="HN137" s="264"/>
      <c r="HO137" s="264"/>
      <c r="HP137" s="2000"/>
    </row>
    <row r="138" spans="4:242" x14ac:dyDescent="0.2">
      <c r="CE138" s="242"/>
      <c r="CF138" s="242"/>
      <c r="CG138" s="242"/>
      <c r="CH138" s="242"/>
      <c r="CI138" s="242"/>
      <c r="GU138" s="2282" t="s">
        <v>754</v>
      </c>
      <c r="GV138" s="396"/>
      <c r="GW138" s="2283">
        <v>4</v>
      </c>
      <c r="GX138" s="2283">
        <v>2</v>
      </c>
      <c r="GY138" s="2283">
        <v>1.3333299999999999</v>
      </c>
      <c r="GZ138" s="2283">
        <v>1</v>
      </c>
      <c r="HA138" s="2283">
        <f>GW138</f>
        <v>4</v>
      </c>
      <c r="HB138" s="2283">
        <f t="shared" ref="HB138" si="660">GX138</f>
        <v>2</v>
      </c>
      <c r="HC138" s="2283">
        <f t="shared" ref="HC138" si="661">GY138</f>
        <v>1.3333299999999999</v>
      </c>
      <c r="HD138" s="2283">
        <f t="shared" ref="HD138" si="662">GZ138</f>
        <v>1</v>
      </c>
      <c r="HE138" s="2283">
        <f t="shared" ref="HE138" si="663">HA138</f>
        <v>4</v>
      </c>
      <c r="HF138" s="2283">
        <f t="shared" ref="HF138" si="664">HB138</f>
        <v>2</v>
      </c>
      <c r="HG138" s="2283">
        <f t="shared" ref="HG138" si="665">HC138</f>
        <v>1.3333299999999999</v>
      </c>
      <c r="HH138" s="2283">
        <f t="shared" ref="HH138" si="666">HD138</f>
        <v>1</v>
      </c>
      <c r="HJ138" s="2283">
        <v>4</v>
      </c>
      <c r="HK138" s="2283">
        <v>4</v>
      </c>
      <c r="HL138" s="2455">
        <f>HF138</f>
        <v>2</v>
      </c>
      <c r="HM138" s="2455">
        <f>HB138</f>
        <v>2</v>
      </c>
      <c r="HN138" s="264"/>
      <c r="HO138" s="264"/>
      <c r="HP138" s="2000"/>
    </row>
    <row r="139" spans="4:242" ht="12" thickBot="1" x14ac:dyDescent="0.25">
      <c r="CE139" s="242"/>
      <c r="CF139" s="242"/>
      <c r="CG139" s="242"/>
      <c r="CH139" s="242"/>
      <c r="CI139" s="242"/>
      <c r="GU139" s="2284" t="s">
        <v>765</v>
      </c>
      <c r="GV139" s="396"/>
      <c r="GW139" s="2285">
        <f>GW137*GW138</f>
        <v>53.127720440000061</v>
      </c>
      <c r="GX139" s="2285">
        <f t="shared" ref="GX139:HH139" si="667">GX137*GX138</f>
        <v>90.287715520000134</v>
      </c>
      <c r="GY139" s="2285">
        <f t="shared" si="667"/>
        <v>63.558174210833741</v>
      </c>
      <c r="GZ139" s="2285">
        <f t="shared" si="667"/>
        <v>45.671249830000122</v>
      </c>
      <c r="HA139" s="2285">
        <f t="shared" si="667"/>
        <v>143.14871964000025</v>
      </c>
      <c r="HB139" s="2285">
        <f t="shared" si="667"/>
        <v>96.004785859999728</v>
      </c>
      <c r="HC139" s="2285">
        <f t="shared" si="667"/>
        <v>68.944018079523829</v>
      </c>
      <c r="HD139" s="2285">
        <f t="shared" si="667"/>
        <v>50.487090880000054</v>
      </c>
      <c r="HE139" s="2285">
        <f t="shared" si="667"/>
        <v>99.382034319999903</v>
      </c>
      <c r="HF139" s="2285">
        <f t="shared" si="667"/>
        <v>180.12099552000018</v>
      </c>
      <c r="HG139" s="2285" t="e">
        <f t="shared" si="667"/>
        <v>#N/A</v>
      </c>
      <c r="HH139" s="2285" t="e">
        <f t="shared" si="667"/>
        <v>#N/A</v>
      </c>
      <c r="HJ139" s="2285">
        <f>HJ137*HJ138</f>
        <v>260.85995672000047</v>
      </c>
      <c r="HK139" s="2285">
        <f>HK137*HK138</f>
        <v>48.860852079999191</v>
      </c>
      <c r="HL139" s="2456">
        <f>HF139</f>
        <v>180.12099552000018</v>
      </c>
      <c r="HM139" s="2456">
        <f>HB139</f>
        <v>96.004785859999728</v>
      </c>
      <c r="HN139" s="2285">
        <f>HF135+SUM(HC134:HD134)</f>
        <v>92.545195710000286</v>
      </c>
      <c r="HO139" s="2285">
        <f>SUM(HD135)</f>
        <v>50.487090880000054</v>
      </c>
      <c r="HP139" s="2000"/>
    </row>
    <row r="140" spans="4:242" ht="12" thickTop="1" x14ac:dyDescent="0.2">
      <c r="CE140" s="242"/>
      <c r="CF140" s="242"/>
      <c r="CG140" s="242"/>
      <c r="CH140" s="242"/>
      <c r="CI140" s="242"/>
      <c r="GU140" s="1146" t="s">
        <v>760</v>
      </c>
      <c r="GV140" s="396"/>
      <c r="GW140" s="1143"/>
      <c r="GX140" s="1143"/>
      <c r="GY140" s="1143"/>
      <c r="GZ140" s="1143"/>
      <c r="HA140" s="1143">
        <f>($GZ126+HA126)/2</f>
        <v>1565.2479250805363</v>
      </c>
      <c r="HB140" s="1143">
        <f>($GZ126+HB126)/2</f>
        <v>1572.8228039581545</v>
      </c>
      <c r="HC140" s="1143">
        <f>($GZ126+HC126)/2</f>
        <v>1604.6677828317656</v>
      </c>
      <c r="HD140" s="1143">
        <f>($GZ126+HD126)/2</f>
        <v>1621.8005604000243</v>
      </c>
      <c r="HE140" s="1143">
        <f>($HD126+HE126)/2</f>
        <v>1693.1750081435944</v>
      </c>
      <c r="HF140" s="1143">
        <f>($HD126+HF126)/2</f>
        <v>1704.3269815200001</v>
      </c>
      <c r="HG140" s="1143">
        <f>($HD126+HG126)/2</f>
        <v>850.81127997902433</v>
      </c>
      <c r="HH140" s="1143">
        <f>($HD126+HH126)/2</f>
        <v>850.81127997902433</v>
      </c>
      <c r="HJ140" s="1143">
        <f>($HE126+HF126)/2</f>
        <v>1695.879429705546</v>
      </c>
      <c r="HK140" s="1143">
        <f>($HA126+HB126)/2</f>
        <v>1596.0921681966909</v>
      </c>
      <c r="HL140" s="1580">
        <f>HF140</f>
        <v>1704.3269815200001</v>
      </c>
      <c r="HM140" s="1580">
        <f>HB140</f>
        <v>1572.8228039581545</v>
      </c>
      <c r="HN140" s="1146">
        <f>(HF126+HB126)/2</f>
        <v>1655.3492250781305</v>
      </c>
      <c r="HO140" s="1146">
        <f>(HD126+GZ126)/2</f>
        <v>1621.8005604000243</v>
      </c>
      <c r="HP140" s="2000" t="s">
        <v>761</v>
      </c>
    </row>
    <row r="141" spans="4:242" x14ac:dyDescent="0.2">
      <c r="CE141" s="242"/>
      <c r="CF141" s="242"/>
      <c r="CG141" s="242"/>
      <c r="CH141" s="242"/>
      <c r="CI141" s="242"/>
      <c r="GU141" s="2286" t="s">
        <v>766</v>
      </c>
      <c r="GV141" s="396"/>
      <c r="GW141" s="1144" t="e">
        <f>GW139/GW140</f>
        <v>#DIV/0!</v>
      </c>
      <c r="GX141" s="1144" t="e">
        <f t="shared" ref="GX141:HK141" si="668">GX139/GX140</f>
        <v>#DIV/0!</v>
      </c>
      <c r="GY141" s="1144" t="e">
        <f t="shared" si="668"/>
        <v>#DIV/0!</v>
      </c>
      <c r="GZ141" s="1144" t="e">
        <f t="shared" si="668"/>
        <v>#DIV/0!</v>
      </c>
      <c r="HA141" s="1144">
        <f t="shared" si="668"/>
        <v>9.1454342373675307E-2</v>
      </c>
      <c r="HB141" s="1144">
        <f t="shared" si="668"/>
        <v>6.10397977562347E-2</v>
      </c>
      <c r="HC141" s="1144">
        <f t="shared" si="668"/>
        <v>4.2964667713249631E-2</v>
      </c>
      <c r="HD141" s="1144">
        <f t="shared" si="668"/>
        <v>3.113027095486216E-2</v>
      </c>
      <c r="HE141" s="1144">
        <f t="shared" si="668"/>
        <v>5.8695665741583837E-2</v>
      </c>
      <c r="HF141" s="1144">
        <f t="shared" si="668"/>
        <v>0.10568452971351758</v>
      </c>
      <c r="HG141" s="1144" t="e">
        <f t="shared" si="668"/>
        <v>#N/A</v>
      </c>
      <c r="HH141" s="1144" t="e">
        <f t="shared" si="668"/>
        <v>#N/A</v>
      </c>
      <c r="HJ141" s="1144">
        <f t="shared" si="668"/>
        <v>0.15381987195003205</v>
      </c>
      <c r="HK141" s="1144">
        <f t="shared" si="668"/>
        <v>3.0612801098575362E-2</v>
      </c>
      <c r="HL141" s="2457">
        <f>HF141</f>
        <v>0.10568452971351758</v>
      </c>
      <c r="HM141" s="2457">
        <f>HB141</f>
        <v>6.10397977562347E-2</v>
      </c>
      <c r="HN141" s="1144">
        <f t="shared" ref="HN141" si="669">HN139/HN140</f>
        <v>5.5906750254244547E-2</v>
      </c>
      <c r="HO141" s="1144">
        <f t="shared" ref="HO141" si="670">HO139/HO140</f>
        <v>3.113027095486216E-2</v>
      </c>
      <c r="HP141" s="2001"/>
    </row>
    <row r="142" spans="4:242" x14ac:dyDescent="0.2">
      <c r="CE142" s="242"/>
      <c r="CF142" s="242"/>
      <c r="CG142" s="242"/>
      <c r="CH142" s="242"/>
      <c r="CI142" s="242"/>
      <c r="GU142" s="443"/>
      <c r="GV142" s="396"/>
      <c r="GW142" s="443"/>
      <c r="GX142" s="443"/>
      <c r="GY142" s="443"/>
      <c r="GZ142" s="443"/>
      <c r="HA142" s="443"/>
      <c r="HB142" s="443"/>
      <c r="HC142" s="443"/>
      <c r="HD142" s="443"/>
      <c r="HE142" s="443"/>
      <c r="HF142" s="443"/>
      <c r="HG142" s="443"/>
      <c r="HH142" s="443"/>
      <c r="HJ142" s="443"/>
      <c r="HK142" s="443"/>
      <c r="HL142" s="443"/>
      <c r="HM142" s="443"/>
      <c r="HN142" s="443"/>
      <c r="HO142" s="443"/>
      <c r="HP142" s="2000"/>
    </row>
    <row r="143" spans="4:242" x14ac:dyDescent="0.2">
      <c r="CE143" s="242"/>
      <c r="CF143" s="242"/>
      <c r="CG143" s="242"/>
      <c r="CH143" s="242"/>
      <c r="CI143" s="242"/>
      <c r="GU143" s="426" t="s">
        <v>312</v>
      </c>
      <c r="GV143" s="426"/>
      <c r="GW143" s="426"/>
      <c r="GX143" s="426"/>
      <c r="GY143" s="426"/>
      <c r="GZ143" s="426"/>
      <c r="HA143" s="426"/>
      <c r="HB143" s="426"/>
      <c r="HC143" s="426"/>
      <c r="HD143" s="426"/>
      <c r="HE143" s="426"/>
      <c r="HF143" s="426"/>
      <c r="HG143" s="426"/>
      <c r="HH143" s="426"/>
      <c r="HI143" s="426"/>
      <c r="HJ143" s="2431">
        <f>HF128*HJ138</f>
        <v>251.49142400000045</v>
      </c>
      <c r="HK143" s="2431">
        <f>HB128*HK138</f>
        <v>43.49999999999919</v>
      </c>
      <c r="HL143" s="2431">
        <f>SUM(HE128:HF128)*HL138</f>
        <v>171.54442800000018</v>
      </c>
      <c r="HM143" s="2432">
        <f>SUM(HA128:HB128)*HM138</f>
        <v>90.299999999999727</v>
      </c>
      <c r="HN143" s="2431">
        <f>SUM(HE128:HF128,HC128:HD128)</f>
        <v>84.922214000000281</v>
      </c>
      <c r="HO143" s="2431">
        <f>SUM(HA128:HD128)</f>
        <v>44.300000000000054</v>
      </c>
      <c r="HP143" s="2000"/>
    </row>
    <row r="144" spans="4:242" x14ac:dyDescent="0.2">
      <c r="CE144" s="242"/>
      <c r="CF144" s="242"/>
      <c r="CG144" s="242"/>
      <c r="CH144" s="242"/>
      <c r="CI144" s="242"/>
      <c r="GU144" s="1145" t="s">
        <v>944</v>
      </c>
      <c r="GV144" s="1126"/>
      <c r="GW144" s="1145"/>
      <c r="GX144" s="1145"/>
      <c r="GY144" s="1145"/>
      <c r="GZ144" s="1145"/>
      <c r="HA144" s="1145"/>
      <c r="HB144" s="1145"/>
      <c r="HC144" s="1145"/>
      <c r="HD144" s="1145"/>
      <c r="HE144" s="1145"/>
      <c r="HF144" s="1145"/>
      <c r="HG144" s="1145"/>
      <c r="HH144" s="1145"/>
      <c r="HI144" s="1145"/>
      <c r="HJ144" s="2275">
        <f>HF131*HJ138</f>
        <v>9.3685327199999975</v>
      </c>
      <c r="HK144" s="2275">
        <f>HB131*HK138</f>
        <v>5.3608520799999999</v>
      </c>
      <c r="HL144" s="2433">
        <f>SUM(HE131:HF131)*HL138</f>
        <v>8.5765675199999993</v>
      </c>
      <c r="HM144" s="2275">
        <f>SUM(HA131:HB131)*HM138</f>
        <v>5.7047858599999994</v>
      </c>
      <c r="HN144" s="2433">
        <f>SUM(HE131:HF131,HC131:HD131)</f>
        <v>7.6229817099999995</v>
      </c>
      <c r="HO144" s="2275">
        <f>SUM(HA131:HD131)</f>
        <v>6.1870908799999995</v>
      </c>
      <c r="HP144" s="2000"/>
    </row>
    <row r="145" spans="83:224" x14ac:dyDescent="0.2">
      <c r="CE145" s="242"/>
      <c r="CF145" s="242"/>
      <c r="CG145" s="242"/>
      <c r="CH145" s="242"/>
      <c r="CI145" s="242"/>
      <c r="GU145" s="1146" t="str">
        <f>GU139</f>
        <v>= Resultat före skatt och finansiella kostnader (EXTRAPOL)</v>
      </c>
      <c r="GV145" s="819"/>
      <c r="GW145" s="1146"/>
      <c r="GX145" s="1146"/>
      <c r="GY145" s="1146"/>
      <c r="GZ145" s="1146"/>
      <c r="HA145" s="1146"/>
      <c r="HB145" s="1146"/>
      <c r="HC145" s="1146"/>
      <c r="HD145" s="1146"/>
      <c r="HE145" s="1146"/>
      <c r="HF145" s="1146"/>
      <c r="HG145" s="1146"/>
      <c r="HH145" s="1146"/>
      <c r="HI145" s="1146"/>
      <c r="HJ145" s="2435">
        <f>SUM(HJ143:HJ144)</f>
        <v>260.85995672000047</v>
      </c>
      <c r="HK145" s="2435">
        <f t="shared" ref="HK145:HO145" si="671">SUM(HK143:HK144)</f>
        <v>48.860852079999191</v>
      </c>
      <c r="HL145" s="2435">
        <f t="shared" si="671"/>
        <v>180.12099552000018</v>
      </c>
      <c r="HM145" s="2435">
        <f t="shared" si="671"/>
        <v>96.004785859999728</v>
      </c>
      <c r="HN145" s="2435">
        <f t="shared" si="671"/>
        <v>92.545195710000286</v>
      </c>
      <c r="HO145" s="2435">
        <f t="shared" si="671"/>
        <v>50.487090880000054</v>
      </c>
      <c r="HP145" s="2000"/>
    </row>
    <row r="146" spans="83:224" x14ac:dyDescent="0.2">
      <c r="CE146" s="242"/>
      <c r="CF146" s="242"/>
      <c r="CG146" s="242"/>
      <c r="CH146" s="242"/>
      <c r="CI146" s="242"/>
      <c r="GU146" s="2427" t="s">
        <v>181</v>
      </c>
      <c r="GV146" s="396"/>
      <c r="GW146" s="2427"/>
      <c r="GX146" s="2427"/>
      <c r="GY146" s="2427"/>
      <c r="GZ146" s="2427"/>
      <c r="HA146" s="2427"/>
      <c r="HB146" s="2427"/>
      <c r="HC146" s="2427"/>
      <c r="HD146" s="2427"/>
      <c r="HE146" s="2427"/>
      <c r="HF146" s="2427"/>
      <c r="HG146" s="2427"/>
      <c r="HH146" s="2427"/>
      <c r="HJ146" s="2434">
        <f>HJ145-HJ139</f>
        <v>0</v>
      </c>
      <c r="HK146" s="2434">
        <f t="shared" ref="HK146:HO146" si="672">HK145-HK139</f>
        <v>0</v>
      </c>
      <c r="HL146" s="2434">
        <f t="shared" si="672"/>
        <v>0</v>
      </c>
      <c r="HM146" s="2434">
        <f t="shared" si="672"/>
        <v>0</v>
      </c>
      <c r="HN146" s="2434">
        <f t="shared" si="672"/>
        <v>0</v>
      </c>
      <c r="HO146" s="2434">
        <f t="shared" si="672"/>
        <v>0</v>
      </c>
      <c r="HP146" s="2000"/>
    </row>
    <row r="147" spans="83:224" x14ac:dyDescent="0.2">
      <c r="CE147" s="242"/>
      <c r="CF147" s="242"/>
      <c r="CG147" s="242"/>
      <c r="CH147" s="242"/>
      <c r="CI147" s="242"/>
      <c r="GU147" s="426" t="s">
        <v>940</v>
      </c>
      <c r="GV147" s="426"/>
      <c r="GW147" s="426"/>
      <c r="GX147" s="426"/>
      <c r="GY147" s="426"/>
      <c r="GZ147" s="426"/>
      <c r="HA147" s="426"/>
      <c r="HB147" s="426"/>
      <c r="HC147" s="426"/>
      <c r="HD147" s="426"/>
      <c r="HE147" s="426"/>
      <c r="HF147" s="426"/>
      <c r="HG147" s="426"/>
      <c r="HH147" s="426"/>
      <c r="HI147" s="426"/>
      <c r="HJ147" s="2431">
        <f>(SUM(HF123:HF123)+SUM(HE123:HE123))/2</f>
        <v>2437.3122540372115</v>
      </c>
      <c r="HK147" s="2431">
        <f>(SUM(HB123:HB123)+SUM(HA123:HA123))/2</f>
        <v>2414.9599095676208</v>
      </c>
      <c r="HL147" s="2431">
        <f>(SUM(HF123:HF123)+SUM(HD123:HD123))/2</f>
        <v>2412.7967021662471</v>
      </c>
      <c r="HM147" s="2431">
        <f>(SUM(HB123:HB123)+SUM(GZ123:GZ123))/2</f>
        <v>2356.8125994435195</v>
      </c>
      <c r="HN147" s="2431">
        <f>(SUM(HF123:HF123)+SUM(HB123:HB123))/2</f>
        <v>2442.3737091664111</v>
      </c>
      <c r="HO147" s="2431">
        <f>(SUM(HD123:HD123)+SUM(GZ123:GZ123))/2</f>
        <v>2327.2355924433555</v>
      </c>
      <c r="HP147" s="2000"/>
    </row>
    <row r="148" spans="83:224" x14ac:dyDescent="0.2">
      <c r="CE148" s="242"/>
      <c r="CF148" s="242"/>
      <c r="CG148" s="242"/>
      <c r="CH148" s="242"/>
      <c r="CI148" s="242"/>
      <c r="GU148" s="426" t="s">
        <v>941</v>
      </c>
      <c r="GV148" s="426"/>
      <c r="GW148" s="426"/>
      <c r="GX148" s="426"/>
      <c r="GY148" s="426"/>
      <c r="GZ148" s="426"/>
      <c r="HA148" s="426"/>
      <c r="HB148" s="426"/>
      <c r="HC148" s="426"/>
      <c r="HD148" s="426"/>
      <c r="HE148" s="426"/>
      <c r="HF148" s="426"/>
      <c r="HG148" s="426"/>
      <c r="HH148" s="426"/>
      <c r="HI148" s="426"/>
      <c r="HJ148" s="2431">
        <f>(SUM(HF124:HF125)+SUM(HE124:HE125))/2</f>
        <v>741.43282433166542</v>
      </c>
      <c r="HK148" s="2431">
        <f>(SUM(HB124:HB125)+SUM(HA124:HA125))/2</f>
        <v>818.86774137092982</v>
      </c>
      <c r="HL148" s="2431">
        <f>(SUM(HF124:HF125)+SUM(HD124:HD125))/2</f>
        <v>708.46972064624697</v>
      </c>
      <c r="HM148" s="2431">
        <f>(SUM(HB124:HB125)+SUM(GZ124:GZ125))/2</f>
        <v>783.98979548536499</v>
      </c>
      <c r="HN148" s="2431">
        <f>(SUM(HF124:HF125)+SUM(HB124:HB125))/2</f>
        <v>787.02448408828059</v>
      </c>
      <c r="HO148" s="2431">
        <f>(SUM(HD124:HD125)+SUM(GZ124:GZ125))/2</f>
        <v>705.43503204333126</v>
      </c>
      <c r="HP148" s="2000"/>
    </row>
    <row r="149" spans="83:224" x14ac:dyDescent="0.2">
      <c r="CE149" s="242"/>
      <c r="CF149" s="242"/>
      <c r="CG149" s="242"/>
      <c r="CH149" s="242"/>
      <c r="CI149" s="242"/>
      <c r="GU149" s="426" t="s">
        <v>942</v>
      </c>
      <c r="GV149" s="426"/>
      <c r="GW149" s="426"/>
      <c r="GX149" s="426"/>
      <c r="GY149" s="426"/>
      <c r="GZ149" s="426"/>
      <c r="HA149" s="426"/>
      <c r="HB149" s="426"/>
      <c r="HC149" s="426"/>
      <c r="HD149" s="426"/>
      <c r="HE149" s="426"/>
      <c r="HF149" s="426"/>
      <c r="HG149" s="426"/>
      <c r="HH149" s="426"/>
      <c r="HI149" s="426"/>
      <c r="HJ149" s="2431">
        <f>HJ147-HJ148</f>
        <v>1695.879429705546</v>
      </c>
      <c r="HK149" s="2431">
        <f t="shared" ref="HK149:HO149" si="673">HK147-HK148</f>
        <v>1596.0921681966911</v>
      </c>
      <c r="HL149" s="2431">
        <f t="shared" si="673"/>
        <v>1704.3269815200001</v>
      </c>
      <c r="HM149" s="2431">
        <f t="shared" si="673"/>
        <v>1572.8228039581545</v>
      </c>
      <c r="HN149" s="2431">
        <f t="shared" si="673"/>
        <v>1655.3492250781305</v>
      </c>
      <c r="HO149" s="2431">
        <f t="shared" si="673"/>
        <v>1621.8005604000241</v>
      </c>
      <c r="HP149" s="2000"/>
    </row>
    <row r="150" spans="83:224" x14ac:dyDescent="0.2">
      <c r="CE150" s="242"/>
      <c r="CF150" s="242"/>
      <c r="CG150" s="242"/>
      <c r="CH150" s="242"/>
      <c r="GU150" s="2427" t="s">
        <v>181</v>
      </c>
      <c r="GV150" s="396"/>
      <c r="GW150" s="2427"/>
      <c r="GX150" s="2427"/>
      <c r="GY150" s="2427"/>
      <c r="GZ150" s="2427"/>
      <c r="HA150" s="2427"/>
      <c r="HB150" s="2427"/>
      <c r="HC150" s="2427"/>
      <c r="HD150" s="2427"/>
      <c r="HE150" s="2427"/>
      <c r="HF150" s="2427"/>
      <c r="HG150" s="2427"/>
      <c r="HH150" s="2427"/>
      <c r="HI150" s="396"/>
      <c r="HJ150" s="2434">
        <f t="shared" ref="HJ150:HO150" si="674">HJ149-HJ140</f>
        <v>0</v>
      </c>
      <c r="HK150" s="2434">
        <f t="shared" si="674"/>
        <v>0</v>
      </c>
      <c r="HL150" s="2434">
        <f t="shared" si="674"/>
        <v>0</v>
      </c>
      <c r="HM150" s="2434">
        <f t="shared" si="674"/>
        <v>0</v>
      </c>
      <c r="HN150" s="2434">
        <f t="shared" si="674"/>
        <v>0</v>
      </c>
      <c r="HO150" s="2434">
        <f t="shared" si="674"/>
        <v>0</v>
      </c>
      <c r="HP150" s="2000"/>
    </row>
    <row r="151" spans="83:224" x14ac:dyDescent="0.2">
      <c r="GU151" s="396" t="s">
        <v>939</v>
      </c>
      <c r="GV151" s="396"/>
      <c r="GW151" s="396"/>
      <c r="GX151" s="396"/>
      <c r="GY151" s="396"/>
      <c r="GZ151" s="396"/>
      <c r="HA151" s="396"/>
      <c r="HB151" s="396"/>
      <c r="HC151" s="396"/>
      <c r="HD151" s="396"/>
      <c r="HE151" s="396"/>
      <c r="HF151" s="396"/>
      <c r="HG151" s="396"/>
      <c r="HH151" s="396"/>
      <c r="HI151" s="396"/>
      <c r="HJ151" s="1044">
        <f>(SUM(HF96:HF96)+SUM(HE96:HE96))/2</f>
        <v>-25.85</v>
      </c>
      <c r="HK151" s="1044">
        <f>(SUM(HB96:HB96)+SUM(HA96:HA96))/2</f>
        <v>-44.2</v>
      </c>
      <c r="HL151" s="1044">
        <f>(SUM(HF96:HF96)+SUM(HD96:HD96))/2</f>
        <v>-32.35</v>
      </c>
      <c r="HM151" s="1044">
        <f>(SUM(HB96:HB96)+SUM(GZ96:GZ96))/2</f>
        <v>-53.6</v>
      </c>
      <c r="HN151" s="1044">
        <f>(SUM(HF96:HF96)+SUM(HB96:HB96))/2</f>
        <v>-26.6</v>
      </c>
      <c r="HO151" s="1044">
        <f>(SUM(HD96:HD96)+SUM(GZ96:GZ96))/2</f>
        <v>-59.35</v>
      </c>
      <c r="HP151" s="2000"/>
    </row>
    <row r="152" spans="83:224" x14ac:dyDescent="0.2">
      <c r="GU152" s="443"/>
      <c r="GV152" s="396"/>
      <c r="GW152" s="443"/>
      <c r="GX152" s="443"/>
      <c r="GY152" s="443"/>
      <c r="GZ152" s="443"/>
      <c r="HA152" s="443"/>
      <c r="HB152" s="443"/>
      <c r="HC152" s="443"/>
      <c r="HD152" s="443"/>
      <c r="HE152" s="443"/>
      <c r="HF152" s="443"/>
      <c r="HG152" s="443"/>
      <c r="HH152" s="443"/>
      <c r="HJ152" s="443"/>
      <c r="HK152" s="443"/>
      <c r="HL152" s="443"/>
      <c r="HM152" s="443"/>
      <c r="HN152" s="443"/>
      <c r="HO152" s="443"/>
      <c r="HP152" s="2000"/>
    </row>
    <row r="153" spans="83:224" ht="10.5" customHeight="1" x14ac:dyDescent="0.2">
      <c r="GU153" s="256"/>
      <c r="GV153" s="396"/>
      <c r="GW153" s="214">
        <f t="shared" ref="GW153:HH153" si="675">GW$28</f>
        <v>2403</v>
      </c>
      <c r="GX153" s="214">
        <f t="shared" si="675"/>
        <v>2406</v>
      </c>
      <c r="GY153" s="214">
        <f t="shared" si="675"/>
        <v>2409</v>
      </c>
      <c r="GZ153" s="214">
        <f t="shared" si="675"/>
        <v>2412</v>
      </c>
      <c r="HA153" s="214">
        <f t="shared" si="675"/>
        <v>2503</v>
      </c>
      <c r="HB153" s="214">
        <f t="shared" si="675"/>
        <v>2506</v>
      </c>
      <c r="HC153" s="214">
        <f t="shared" si="675"/>
        <v>2509</v>
      </c>
      <c r="HD153" s="214">
        <f t="shared" si="675"/>
        <v>2512</v>
      </c>
      <c r="HE153" s="214">
        <f t="shared" si="675"/>
        <v>2603</v>
      </c>
      <c r="HF153" s="214">
        <f t="shared" si="675"/>
        <v>2606</v>
      </c>
      <c r="HG153" s="214">
        <f t="shared" si="675"/>
        <v>2609</v>
      </c>
      <c r="HH153" s="214">
        <f t="shared" si="675"/>
        <v>2612</v>
      </c>
      <c r="HJ153" s="214" t="str">
        <f t="shared" ref="HJ153:HO153" si="676">HJ$10</f>
        <v>Kvartal 2</v>
      </c>
      <c r="HK153" s="214" t="str">
        <f t="shared" si="676"/>
        <v>Kvartal 2</v>
      </c>
      <c r="HL153" s="214" t="str">
        <f t="shared" si="676"/>
        <v>Kvartal 1-2</v>
      </c>
      <c r="HM153" s="214" t="str">
        <f t="shared" si="676"/>
        <v>Kvartal 1-2</v>
      </c>
      <c r="HN153" s="214" t="str">
        <f t="shared" si="676"/>
        <v>Kvartal 2, R12</v>
      </c>
      <c r="HO153" s="214" t="str">
        <f t="shared" si="676"/>
        <v>Helår</v>
      </c>
      <c r="HP153" s="2007"/>
    </row>
    <row r="154" spans="83:224" x14ac:dyDescent="0.2">
      <c r="CE154" s="242"/>
      <c r="CF154" s="242"/>
      <c r="CG154" s="242"/>
      <c r="CH154" s="242"/>
      <c r="GU154" s="1581"/>
      <c r="GV154" s="396"/>
      <c r="GW154" s="1124"/>
      <c r="GX154" s="1124"/>
      <c r="GY154" s="1124"/>
      <c r="GZ154" s="1124"/>
      <c r="HA154" s="1124"/>
      <c r="HB154" s="1124"/>
      <c r="HC154" s="1124"/>
      <c r="HD154" s="1124"/>
      <c r="HE154" s="1124"/>
      <c r="HF154" s="1124"/>
      <c r="HG154" s="1124"/>
      <c r="HH154" s="1124"/>
      <c r="HJ154" s="1124">
        <f t="shared" ref="HJ154:HO154" si="677">HJ$11</f>
        <v>2026</v>
      </c>
      <c r="HK154" s="1124">
        <f t="shared" si="677"/>
        <v>2025</v>
      </c>
      <c r="HL154" s="1124">
        <f t="shared" si="677"/>
        <v>2026</v>
      </c>
      <c r="HM154" s="1124">
        <f t="shared" si="677"/>
        <v>2025</v>
      </c>
      <c r="HN154" s="1124">
        <f t="shared" si="677"/>
        <v>2026</v>
      </c>
      <c r="HO154" s="1124">
        <f t="shared" si="677"/>
        <v>2025</v>
      </c>
      <c r="HP154" s="2007"/>
    </row>
    <row r="155" spans="83:224" x14ac:dyDescent="0.2">
      <c r="GU155" s="264" t="s">
        <v>763</v>
      </c>
      <c r="GV155" s="396"/>
      <c r="GW155" s="2287">
        <f t="shared" ref="GW155:HH155" si="678">CK35</f>
        <v>8.9741850000000127</v>
      </c>
      <c r="GX155" s="2287">
        <f t="shared" si="678"/>
        <v>23.583785000000042</v>
      </c>
      <c r="GY155" s="2287">
        <f t="shared" si="678"/>
        <v>0.39898499999985715</v>
      </c>
      <c r="GZ155" s="2287">
        <f t="shared" si="678"/>
        <v>-1.5860149999998177</v>
      </c>
      <c r="HA155" s="2287">
        <f t="shared" si="678"/>
        <v>24.460350000000048</v>
      </c>
      <c r="HB155" s="2287">
        <f t="shared" si="678"/>
        <v>1.1017499999998392</v>
      </c>
      <c r="HC155" s="2287">
        <f t="shared" si="678"/>
        <v>-4.4338499999999357</v>
      </c>
      <c r="HD155" s="2287">
        <f t="shared" si="678"/>
        <v>-18.354049999999912</v>
      </c>
      <c r="HE155" s="2287">
        <f t="shared" si="678"/>
        <v>15.34709025199998</v>
      </c>
      <c r="HF155" s="2287">
        <f t="shared" si="678"/>
        <v>49.273047664000089</v>
      </c>
      <c r="HG155" s="2287">
        <f t="shared" si="678"/>
        <v>-25.113000000000039</v>
      </c>
      <c r="HH155" s="2287">
        <f t="shared" si="678"/>
        <v>1.2776000000000778</v>
      </c>
      <c r="HJ155" s="2287">
        <f>HF155</f>
        <v>49.273047664000089</v>
      </c>
      <c r="HK155" s="2287">
        <f>HB155</f>
        <v>1.1017499999998392</v>
      </c>
      <c r="HL155" s="2288"/>
      <c r="HM155" s="2288"/>
      <c r="HN155" s="2288"/>
      <c r="HO155" s="2288"/>
      <c r="HP155" s="2000"/>
    </row>
    <row r="156" spans="83:224" x14ac:dyDescent="0.2">
      <c r="GU156" s="264" t="s">
        <v>762</v>
      </c>
      <c r="GV156" s="396"/>
      <c r="GW156" s="2090">
        <f>SUM($GW155:GW155)</f>
        <v>8.9741850000000127</v>
      </c>
      <c r="GX156" s="2090">
        <f>SUM($GW155:GX155)</f>
        <v>32.557970000000054</v>
      </c>
      <c r="GY156" s="2090">
        <f>SUM($GW155:GY155)</f>
        <v>32.956954999999908</v>
      </c>
      <c r="GZ156" s="2090">
        <f>SUM($GW155:GZ155)</f>
        <v>31.37094000000009</v>
      </c>
      <c r="HA156" s="2090">
        <f>SUM($HA155:HA155)</f>
        <v>24.460350000000048</v>
      </c>
      <c r="HB156" s="2090">
        <f>SUM($HA155:HB155)</f>
        <v>25.562099999999887</v>
      </c>
      <c r="HC156" s="2090">
        <f>SUM($HA155:HC155)</f>
        <v>21.128249999999952</v>
      </c>
      <c r="HD156" s="2090">
        <f>SUM($HA155:HD155)</f>
        <v>2.7742000000000395</v>
      </c>
      <c r="HE156" s="2090">
        <f>SUM($HE155:HE155)</f>
        <v>15.34709025199998</v>
      </c>
      <c r="HF156" s="2090">
        <f>SUM($HE155:HF155)</f>
        <v>64.620137916000061</v>
      </c>
      <c r="HG156" s="2090">
        <f>SUM($HE155:HG155)</f>
        <v>39.507137916000019</v>
      </c>
      <c r="HH156" s="2090">
        <f>SUM($HE155:HH155)</f>
        <v>40.784737916000097</v>
      </c>
      <c r="HJ156" s="2287">
        <f>HF156</f>
        <v>64.620137916000061</v>
      </c>
      <c r="HK156" s="2287">
        <f>HB156</f>
        <v>25.562099999999887</v>
      </c>
      <c r="HL156" s="2288"/>
      <c r="HM156" s="2288"/>
      <c r="HN156" s="2288"/>
      <c r="HO156" s="2288"/>
      <c r="HP156" s="2000" t="s">
        <v>761</v>
      </c>
    </row>
    <row r="157" spans="83:224" x14ac:dyDescent="0.2">
      <c r="GU157" s="264"/>
      <c r="GV157" s="396"/>
      <c r="GW157" s="2289"/>
      <c r="GX157" s="2289"/>
      <c r="GY157" s="2289"/>
      <c r="GZ157" s="2289"/>
      <c r="HA157" s="2289"/>
      <c r="HB157" s="2289"/>
      <c r="HC157" s="2289"/>
      <c r="HD157" s="2289"/>
      <c r="HE157" s="2289"/>
      <c r="HF157" s="2289"/>
      <c r="HG157" s="2289"/>
      <c r="HH157" s="2289"/>
      <c r="HJ157" s="2287"/>
      <c r="HK157" s="2287"/>
      <c r="HL157" s="2289"/>
      <c r="HM157" s="2289"/>
      <c r="HN157" s="2288"/>
      <c r="HO157" s="2288"/>
      <c r="HP157" s="2000"/>
    </row>
    <row r="158" spans="83:224" ht="13.5" customHeight="1" x14ac:dyDescent="0.2">
      <c r="GU158" s="2277" t="s">
        <v>764</v>
      </c>
      <c r="GV158" s="396"/>
      <c r="GW158" s="2288">
        <f>GW156</f>
        <v>8.9741850000000127</v>
      </c>
      <c r="GX158" s="2288">
        <f t="shared" ref="GX158:HH158" si="679">GX156</f>
        <v>32.557970000000054</v>
      </c>
      <c r="GY158" s="2288">
        <f t="shared" si="679"/>
        <v>32.956954999999908</v>
      </c>
      <c r="GZ158" s="2288">
        <f t="shared" si="679"/>
        <v>31.37094000000009</v>
      </c>
      <c r="HA158" s="2288">
        <f t="shared" si="679"/>
        <v>24.460350000000048</v>
      </c>
      <c r="HB158" s="2288">
        <f t="shared" si="679"/>
        <v>25.562099999999887</v>
      </c>
      <c r="HC158" s="2288">
        <f t="shared" si="679"/>
        <v>21.128249999999952</v>
      </c>
      <c r="HD158" s="2288">
        <f t="shared" si="679"/>
        <v>2.7742000000000395</v>
      </c>
      <c r="HE158" s="2288">
        <f t="shared" si="679"/>
        <v>15.34709025199998</v>
      </c>
      <c r="HF158" s="2288">
        <f t="shared" si="679"/>
        <v>64.620137916000061</v>
      </c>
      <c r="HG158" s="2288">
        <f t="shared" si="679"/>
        <v>39.507137916000019</v>
      </c>
      <c r="HH158" s="2288">
        <f t="shared" si="679"/>
        <v>40.784737916000097</v>
      </c>
      <c r="HJ158" s="2290">
        <f>HJ155</f>
        <v>49.273047664000089</v>
      </c>
      <c r="HK158" s="2290">
        <f>HK155</f>
        <v>1.1017499999998392</v>
      </c>
      <c r="HL158" s="2288"/>
      <c r="HM158" s="2288"/>
      <c r="HN158" s="2288"/>
      <c r="HO158" s="2288"/>
      <c r="HP158" s="2000"/>
    </row>
    <row r="159" spans="83:224" x14ac:dyDescent="0.2">
      <c r="GU159" s="2282" t="s">
        <v>754</v>
      </c>
      <c r="GV159" s="396"/>
      <c r="GW159" s="2283">
        <v>4</v>
      </c>
      <c r="GX159" s="2283">
        <v>2</v>
      </c>
      <c r="GY159" s="2283">
        <v>1.3333299999999999</v>
      </c>
      <c r="GZ159" s="2283">
        <v>1</v>
      </c>
      <c r="HA159" s="2283">
        <f>GW159</f>
        <v>4</v>
      </c>
      <c r="HB159" s="2283">
        <f t="shared" ref="HB159" si="680">GX159</f>
        <v>2</v>
      </c>
      <c r="HC159" s="2283">
        <f t="shared" ref="HC159" si="681">GY159</f>
        <v>1.3333299999999999</v>
      </c>
      <c r="HD159" s="2283">
        <f t="shared" ref="HD159" si="682">GZ159</f>
        <v>1</v>
      </c>
      <c r="HE159" s="2283">
        <f t="shared" ref="HE159" si="683">HA159</f>
        <v>4</v>
      </c>
      <c r="HF159" s="2283">
        <f t="shared" ref="HF159" si="684">HB159</f>
        <v>2</v>
      </c>
      <c r="HG159" s="2283">
        <f t="shared" ref="HG159" si="685">HC159</f>
        <v>1.3333299999999999</v>
      </c>
      <c r="HH159" s="2283">
        <f t="shared" ref="HH159" si="686">HD159</f>
        <v>1</v>
      </c>
      <c r="HJ159" s="2291">
        <v>4</v>
      </c>
      <c r="HK159" s="2291">
        <v>4</v>
      </c>
      <c r="HL159" s="2283"/>
      <c r="HM159" s="2283"/>
      <c r="HN159" s="2288"/>
      <c r="HO159" s="2288"/>
      <c r="HP159" s="2000"/>
    </row>
    <row r="160" spans="83:224" ht="10.5" customHeight="1" thickBot="1" x14ac:dyDescent="0.25">
      <c r="GU160" s="2284" t="s">
        <v>782</v>
      </c>
      <c r="GV160" s="396"/>
      <c r="GW160" s="2285">
        <f>GW158*GW159</f>
        <v>35.896740000000051</v>
      </c>
      <c r="GX160" s="2285">
        <f t="shared" ref="GX160:HH160" si="687">GX158*GX159</f>
        <v>65.115940000000109</v>
      </c>
      <c r="GY160" s="2285">
        <f t="shared" si="687"/>
        <v>43.942496810149876</v>
      </c>
      <c r="GZ160" s="2285">
        <f t="shared" si="687"/>
        <v>31.37094000000009</v>
      </c>
      <c r="HA160" s="2285">
        <f t="shared" si="687"/>
        <v>97.841400000000192</v>
      </c>
      <c r="HB160" s="2285">
        <f t="shared" si="687"/>
        <v>51.124199999999774</v>
      </c>
      <c r="HC160" s="2285">
        <f t="shared" si="687"/>
        <v>28.170929572499933</v>
      </c>
      <c r="HD160" s="2285">
        <f t="shared" si="687"/>
        <v>2.7742000000000395</v>
      </c>
      <c r="HE160" s="2285">
        <f t="shared" si="687"/>
        <v>61.388361007999919</v>
      </c>
      <c r="HF160" s="2285">
        <f t="shared" si="687"/>
        <v>129.24027583200012</v>
      </c>
      <c r="HG160" s="2285">
        <f t="shared" si="687"/>
        <v>52.676052197540301</v>
      </c>
      <c r="HH160" s="2285">
        <f t="shared" si="687"/>
        <v>40.784737916000097</v>
      </c>
      <c r="HJ160" s="2285">
        <f>HJ158*HJ159</f>
        <v>197.09219065600035</v>
      </c>
      <c r="HK160" s="2285">
        <f>HK158*HK159</f>
        <v>4.406999999999357</v>
      </c>
      <c r="HL160" s="2285"/>
      <c r="HM160" s="2285"/>
      <c r="HN160" s="2285">
        <f>HF156+SUM(HC155:HD155)</f>
        <v>41.83223791600021</v>
      </c>
      <c r="HO160" s="2285">
        <f>SUM(HD156)</f>
        <v>2.7742000000000395</v>
      </c>
      <c r="HP160" s="2000"/>
    </row>
    <row r="161" spans="201:224" ht="12" thickTop="1" x14ac:dyDescent="0.2">
      <c r="GS161" s="443"/>
      <c r="GU161" s="1146" t="s">
        <v>783</v>
      </c>
      <c r="GV161" s="396"/>
      <c r="GW161" s="1143"/>
      <c r="GX161" s="1143"/>
      <c r="GY161" s="1143"/>
      <c r="GZ161" s="1143"/>
      <c r="HA161" s="1143">
        <f>(HA118+$GZ118)/2</f>
        <v>1444.3479250805362</v>
      </c>
      <c r="HB161" s="1143">
        <f>(HB118+$GZ118)/2</f>
        <v>1432.9228039581544</v>
      </c>
      <c r="HC161" s="1143">
        <f>(HC118+$GZ118)/2</f>
        <v>1442.8177828317653</v>
      </c>
      <c r="HD161" s="1143">
        <f>(HD118+$GZ118)/2</f>
        <v>1447.2505604000244</v>
      </c>
      <c r="HE161" s="1143">
        <f>(HE118+$HD118)/2</f>
        <v>1486.4250081435944</v>
      </c>
      <c r="HF161" s="1143">
        <f>(HF118+$HD118)/2</f>
        <v>1533.0269815200004</v>
      </c>
      <c r="HG161" s="1143">
        <f>(HG118+$HD118)/2</f>
        <v>738.91127997902436</v>
      </c>
      <c r="HH161" s="1143">
        <f>(HH118+$HD118)/2</f>
        <v>738.91127997902436</v>
      </c>
      <c r="HJ161" s="2287">
        <f>(HF118+$HE118)/2</f>
        <v>1541.629429705546</v>
      </c>
      <c r="HK161" s="2287">
        <f>(HB118+$HA118)/2</f>
        <v>1460.5921681966909</v>
      </c>
      <c r="HL161" s="1143">
        <f>HF161</f>
        <v>1533.0269815200004</v>
      </c>
      <c r="HM161" s="1143">
        <f>HB161</f>
        <v>1432.9228039581544</v>
      </c>
      <c r="HN161" s="1143">
        <f>(HF118+HB118)/2</f>
        <v>1518.6992250781304</v>
      </c>
      <c r="HO161" s="1143">
        <f>(HD118+GZ118)/2</f>
        <v>1447.2505604000244</v>
      </c>
      <c r="HP161" s="2000" t="s">
        <v>761</v>
      </c>
    </row>
    <row r="162" spans="201:224" ht="10.5" customHeight="1" x14ac:dyDescent="0.2">
      <c r="GU162" s="2286" t="s">
        <v>784</v>
      </c>
      <c r="GV162" s="396"/>
      <c r="GW162" s="1144" t="e">
        <f>GW160/GW161</f>
        <v>#DIV/0!</v>
      </c>
      <c r="GX162" s="1144" t="e">
        <f t="shared" ref="GX162:HH162" si="688">GX160/GX161</f>
        <v>#DIV/0!</v>
      </c>
      <c r="GY162" s="1144" t="e">
        <f t="shared" si="688"/>
        <v>#DIV/0!</v>
      </c>
      <c r="GZ162" s="1144" t="e">
        <f t="shared" si="688"/>
        <v>#DIV/0!</v>
      </c>
      <c r="HA162" s="1144">
        <f t="shared" si="688"/>
        <v>6.7740880366165643E-2</v>
      </c>
      <c r="HB162" s="1144">
        <f t="shared" si="688"/>
        <v>3.5678265332074896E-2</v>
      </c>
      <c r="HC162" s="1144">
        <f t="shared" si="688"/>
        <v>1.9524939259627012E-2</v>
      </c>
      <c r="HD162" s="1144">
        <f t="shared" si="688"/>
        <v>1.9168760931301643E-3</v>
      </c>
      <c r="HE162" s="1144">
        <f t="shared" si="688"/>
        <v>4.1299332742435649E-2</v>
      </c>
      <c r="HF162" s="1144">
        <f t="shared" si="688"/>
        <v>8.43039798972475E-2</v>
      </c>
      <c r="HG162" s="1144">
        <f t="shared" si="688"/>
        <v>7.1288737396234675E-2</v>
      </c>
      <c r="HH162" s="1144">
        <f t="shared" si="688"/>
        <v>5.519571702459037E-2</v>
      </c>
      <c r="HJ162" s="1144">
        <f>HJ160/HJ161</f>
        <v>0.12784667109893286</v>
      </c>
      <c r="HK162" s="1144">
        <f t="shared" ref="HK162" si="689">HK160/HK161</f>
        <v>3.0172693623576156E-3</v>
      </c>
      <c r="HL162" s="1144">
        <f>HF162</f>
        <v>8.43039798972475E-2</v>
      </c>
      <c r="HM162" s="1144">
        <f>HB162</f>
        <v>3.5678265332074896E-2</v>
      </c>
      <c r="HN162" s="1144">
        <f t="shared" ref="HN162:HO162" si="690">HN160/HN161</f>
        <v>2.7544781234643826E-2</v>
      </c>
      <c r="HO162" s="1144">
        <f t="shared" si="690"/>
        <v>1.9168760931301643E-3</v>
      </c>
      <c r="HP162" s="2000"/>
    </row>
    <row r="163" spans="201:224" ht="9.75" customHeight="1" x14ac:dyDescent="0.2">
      <c r="GU163" s="443"/>
      <c r="GV163" s="396"/>
      <c r="GW163" s="443"/>
      <c r="GX163" s="443"/>
      <c r="GY163" s="443"/>
      <c r="GZ163" s="443"/>
      <c r="HA163" s="443"/>
      <c r="HB163" s="443"/>
      <c r="HC163" s="443"/>
      <c r="HD163" s="443"/>
      <c r="HE163" s="443"/>
      <c r="HF163" s="443"/>
      <c r="HG163" s="443"/>
      <c r="HH163" s="443"/>
      <c r="HJ163" s="443"/>
      <c r="HK163" s="443"/>
      <c r="HL163" s="443"/>
      <c r="HM163" s="443"/>
      <c r="HN163" s="443"/>
      <c r="HO163" s="443"/>
      <c r="HP163" s="2000"/>
    </row>
    <row r="164" spans="201:224" x14ac:dyDescent="0.2">
      <c r="GU164" s="256"/>
      <c r="GV164" s="396"/>
      <c r="GW164" s="214">
        <f t="shared" ref="GW164:HH164" si="691">GW$28</f>
        <v>2403</v>
      </c>
      <c r="GX164" s="214">
        <f t="shared" si="691"/>
        <v>2406</v>
      </c>
      <c r="GY164" s="214">
        <f t="shared" si="691"/>
        <v>2409</v>
      </c>
      <c r="GZ164" s="214">
        <f t="shared" si="691"/>
        <v>2412</v>
      </c>
      <c r="HA164" s="214">
        <f t="shared" si="691"/>
        <v>2503</v>
      </c>
      <c r="HB164" s="214">
        <f t="shared" si="691"/>
        <v>2506</v>
      </c>
      <c r="HC164" s="214">
        <f t="shared" si="691"/>
        <v>2509</v>
      </c>
      <c r="HD164" s="214">
        <f t="shared" si="691"/>
        <v>2512</v>
      </c>
      <c r="HE164" s="214">
        <f t="shared" si="691"/>
        <v>2603</v>
      </c>
      <c r="HF164" s="214">
        <f t="shared" si="691"/>
        <v>2606</v>
      </c>
      <c r="HG164" s="214">
        <f t="shared" si="691"/>
        <v>2609</v>
      </c>
      <c r="HH164" s="214">
        <f t="shared" si="691"/>
        <v>2612</v>
      </c>
      <c r="HJ164" s="214" t="str">
        <f t="shared" ref="HJ164:HO164" si="692">HJ$10</f>
        <v>Kvartal 2</v>
      </c>
      <c r="HK164" s="214" t="str">
        <f t="shared" si="692"/>
        <v>Kvartal 2</v>
      </c>
      <c r="HL164" s="214" t="str">
        <f t="shared" si="692"/>
        <v>Kvartal 1-2</v>
      </c>
      <c r="HM164" s="214" t="str">
        <f t="shared" si="692"/>
        <v>Kvartal 1-2</v>
      </c>
      <c r="HN164" s="214" t="str">
        <f t="shared" si="692"/>
        <v>Kvartal 2, R12</v>
      </c>
      <c r="HO164" s="214" t="str">
        <f t="shared" si="692"/>
        <v>Helår</v>
      </c>
      <c r="HP164" s="2007"/>
    </row>
    <row r="165" spans="201:224" ht="10.5" customHeight="1" x14ac:dyDescent="0.2">
      <c r="GU165" s="1581"/>
      <c r="GV165" s="396"/>
      <c r="GW165" s="1124"/>
      <c r="GX165" s="1124"/>
      <c r="GY165" s="1124"/>
      <c r="GZ165" s="1124"/>
      <c r="HA165" s="1124"/>
      <c r="HB165" s="1124"/>
      <c r="HC165" s="1124"/>
      <c r="HD165" s="1124"/>
      <c r="HE165" s="1124"/>
      <c r="HF165" s="1124"/>
      <c r="HG165" s="1124"/>
      <c r="HH165" s="1124"/>
      <c r="HJ165" s="1124">
        <f t="shared" ref="HJ165:HO165" si="693">HJ$11</f>
        <v>2026</v>
      </c>
      <c r="HK165" s="1124">
        <f t="shared" si="693"/>
        <v>2025</v>
      </c>
      <c r="HL165" s="1124">
        <f t="shared" si="693"/>
        <v>2026</v>
      </c>
      <c r="HM165" s="1124">
        <f t="shared" si="693"/>
        <v>2025</v>
      </c>
      <c r="HN165" s="1124">
        <f t="shared" si="693"/>
        <v>2026</v>
      </c>
      <c r="HO165" s="1124">
        <f t="shared" si="693"/>
        <v>2025</v>
      </c>
      <c r="HP165" s="2007"/>
    </row>
    <row r="166" spans="201:224" x14ac:dyDescent="0.2">
      <c r="GU166" s="2292" t="s">
        <v>434</v>
      </c>
      <c r="GV166" s="396"/>
      <c r="GW166" s="2090">
        <f>'Koncern BR'!AK32</f>
        <v>1342.2336748425746</v>
      </c>
      <c r="GX166" s="2090">
        <f>'Koncern BR'!AL32</f>
        <v>1366.0341704483833</v>
      </c>
      <c r="GY166" s="2090">
        <f>'Koncern BR'!AM32</f>
        <v>1393.3138669441917</v>
      </c>
      <c r="GZ166" s="2090">
        <f>'Koncern BR'!AN32</f>
        <v>1416.6785608419998</v>
      </c>
      <c r="HA166" s="2090">
        <f>'Koncern BR'!AO32</f>
        <v>1472.0172893190729</v>
      </c>
      <c r="HB166" s="2090">
        <f>'Koncern BR'!AP32</f>
        <v>1449.1670470743088</v>
      </c>
      <c r="HC166" s="2090">
        <f>'Koncern BR'!AQ32</f>
        <v>1468.957004821531</v>
      </c>
      <c r="HD166" s="2090">
        <f>'Koncern BR'!AR32</f>
        <v>1477.8225599580487</v>
      </c>
      <c r="HE166" s="2090">
        <f>'Koncern BR'!AS32</f>
        <v>1495.0274563291398</v>
      </c>
      <c r="HF166" s="2090">
        <f>'Koncern BR'!AT32</f>
        <v>1588.2314030819521</v>
      </c>
      <c r="HG166" s="2090">
        <f>'Koncern BR'!AU32</f>
        <v>0</v>
      </c>
      <c r="HH166" s="2090">
        <f>'Koncern BR'!AV32</f>
        <v>0</v>
      </c>
      <c r="HJ166" s="2274">
        <f>HF166</f>
        <v>1588.2314030819521</v>
      </c>
      <c r="HK166" s="2274">
        <f>HB166</f>
        <v>1449.1670470743088</v>
      </c>
      <c r="HL166" s="2274">
        <f>HF166</f>
        <v>1588.2314030819521</v>
      </c>
      <c r="HM166" s="2274">
        <f>HB166</f>
        <v>1449.1670470743088</v>
      </c>
      <c r="HN166" s="2274">
        <f>HF166</f>
        <v>1588.2314030819521</v>
      </c>
      <c r="HO166" s="2274">
        <f>HD166</f>
        <v>1477.8225599580487</v>
      </c>
      <c r="HP166" s="2000"/>
    </row>
    <row r="167" spans="201:224" x14ac:dyDescent="0.2">
      <c r="GU167" s="2292" t="s">
        <v>745</v>
      </c>
      <c r="GV167" s="396"/>
      <c r="GW167" s="2090">
        <f>'Koncern BR'!AK36</f>
        <v>269.42460581557981</v>
      </c>
      <c r="GX167" s="2090">
        <f>'Koncern BR'!AL36</f>
        <v>274.25747999038657</v>
      </c>
      <c r="GY167" s="2090">
        <f>'Koncern BR'!AM36</f>
        <v>278.30233827519328</v>
      </c>
      <c r="GZ167" s="2090">
        <f>'Koncern BR'!AN36</f>
        <v>286.10703215799992</v>
      </c>
      <c r="HA167" s="2090">
        <f>'Koncern BR'!AO36</f>
        <v>289.86292392912975</v>
      </c>
      <c r="HB167" s="2090">
        <f>'Koncern BR'!AP36</f>
        <v>287.87255881273001</v>
      </c>
      <c r="HC167" s="2090">
        <f>'Koncern BR'!AQ36</f>
        <v>289.33317757334424</v>
      </c>
      <c r="HD167" s="2090">
        <f>'Koncern BR'!AR36</f>
        <v>294.66303192866252</v>
      </c>
      <c r="HE167" s="2090">
        <f>'Koncern BR'!AS36</f>
        <v>291.68923929949972</v>
      </c>
      <c r="HF167" s="2090">
        <f>'Koncern BR'!AT36</f>
        <v>300.57640936383132</v>
      </c>
      <c r="HG167" s="2090">
        <f>'Koncern BR'!AU36</f>
        <v>0</v>
      </c>
      <c r="HH167" s="2090">
        <f>'Koncern BR'!AV36</f>
        <v>0</v>
      </c>
      <c r="HJ167" s="2274">
        <f>HF167</f>
        <v>300.57640936383132</v>
      </c>
      <c r="HK167" s="2274">
        <f>HB167</f>
        <v>287.87255881273001</v>
      </c>
      <c r="HL167" s="2274">
        <f>HF167</f>
        <v>300.57640936383132</v>
      </c>
      <c r="HM167" s="2274">
        <f>HB167</f>
        <v>287.87255881273001</v>
      </c>
      <c r="HN167" s="2274">
        <f>HF167</f>
        <v>300.57640936383132</v>
      </c>
      <c r="HO167" s="2274">
        <f>HD167</f>
        <v>294.66303192866252</v>
      </c>
      <c r="HP167" s="2000"/>
    </row>
    <row r="168" spans="201:224" ht="10.5" customHeight="1" x14ac:dyDescent="0.2">
      <c r="GU168" s="2293" t="s">
        <v>36</v>
      </c>
      <c r="GV168" s="396"/>
      <c r="GW168" s="2091">
        <f>'Koncern BR'!AK41</f>
        <v>2374.1582806581546</v>
      </c>
      <c r="GX168" s="2091">
        <f>'Koncern BR'!AL41</f>
        <v>2393.5916504387696</v>
      </c>
      <c r="GY168" s="2091">
        <f>'Koncern BR'!AM41</f>
        <v>2334.2162052193848</v>
      </c>
      <c r="GZ168" s="2091">
        <f>'Koncern BR'!AN41</f>
        <v>2292.885593</v>
      </c>
      <c r="HA168" s="2091">
        <f>'Koncern BR'!AO41</f>
        <v>2409.1802132482026</v>
      </c>
      <c r="HB168" s="2091">
        <f>'Koncern BR'!AP41</f>
        <v>2420.739605887039</v>
      </c>
      <c r="HC168" s="2091">
        <f>'Koncern BR'!AQ41</f>
        <v>2416.9901823948753</v>
      </c>
      <c r="HD168" s="2091">
        <f>'Koncern BR'!AR41</f>
        <v>2361.585591886711</v>
      </c>
      <c r="HE168" s="2091">
        <f>'Koncern BR'!AS41</f>
        <v>2410.6166956286397</v>
      </c>
      <c r="HF168" s="2091">
        <f>'Koncern BR'!AT41</f>
        <v>2464.0078124457832</v>
      </c>
      <c r="HG168" s="2091">
        <f>'Koncern BR'!AU41</f>
        <v>0</v>
      </c>
      <c r="HH168" s="2091">
        <f>'Koncern BR'!AV41</f>
        <v>0</v>
      </c>
      <c r="HJ168" s="2294">
        <f>HF168</f>
        <v>2464.0078124457832</v>
      </c>
      <c r="HK168" s="2294">
        <f>HB168</f>
        <v>2420.739605887039</v>
      </c>
      <c r="HL168" s="2294">
        <f>HF168</f>
        <v>2464.0078124457832</v>
      </c>
      <c r="HM168" s="2294">
        <f>HB168</f>
        <v>2420.739605887039</v>
      </c>
      <c r="HN168" s="2294">
        <f>HF168</f>
        <v>2464.0078124457832</v>
      </c>
      <c r="HO168" s="2294">
        <f>HD168</f>
        <v>2361.585591886711</v>
      </c>
      <c r="HP168" s="2000"/>
    </row>
    <row r="169" spans="201:224" x14ac:dyDescent="0.2">
      <c r="GU169" s="2295" t="s">
        <v>415</v>
      </c>
      <c r="GV169" s="396"/>
      <c r="GW169" s="2296">
        <f>(GW166+GW167)/GW168</f>
        <v>0.67883354441363397</v>
      </c>
      <c r="GX169" s="2296">
        <f t="shared" ref="GX169:HH169" si="694">(GX166+GX167)/GX168</f>
        <v>0.68528466421500422</v>
      </c>
      <c r="GY169" s="2296">
        <f t="shared" si="694"/>
        <v>0.71613597809902774</v>
      </c>
      <c r="GZ169" s="2296">
        <f t="shared" si="694"/>
        <v>0.74263870739930093</v>
      </c>
      <c r="HA169" s="2296">
        <f t="shared" si="694"/>
        <v>0.73131939385834865</v>
      </c>
      <c r="HB169" s="2296">
        <f t="shared" si="694"/>
        <v>0.71756565706724573</v>
      </c>
      <c r="HC169" s="2296">
        <f t="shared" si="694"/>
        <v>0.72747096583266757</v>
      </c>
      <c r="HD169" s="2296">
        <f t="shared" si="694"/>
        <v>0.75054895235477892</v>
      </c>
      <c r="HE169" s="2296">
        <f t="shared" si="694"/>
        <v>0.74118655979966996</v>
      </c>
      <c r="HF169" s="2296">
        <f t="shared" si="694"/>
        <v>0.76655918171417881</v>
      </c>
      <c r="HG169" s="2296" t="e">
        <f t="shared" si="694"/>
        <v>#DIV/0!</v>
      </c>
      <c r="HH169" s="2296" t="e">
        <f t="shared" si="694"/>
        <v>#DIV/0!</v>
      </c>
      <c r="HJ169" s="2430">
        <f>(HJ166+HJ167)/HJ168</f>
        <v>0.76655918171417881</v>
      </c>
      <c r="HK169" s="2430">
        <f t="shared" ref="HK169:HO169" si="695">(HK166+HK167)/HK168</f>
        <v>0.71756565706724573</v>
      </c>
      <c r="HL169" s="2430">
        <f t="shared" si="695"/>
        <v>0.76655918171417881</v>
      </c>
      <c r="HM169" s="2430">
        <f t="shared" si="695"/>
        <v>0.71756565706724573</v>
      </c>
      <c r="HN169" s="2430">
        <f t="shared" si="695"/>
        <v>0.76655918171417881</v>
      </c>
      <c r="HO169" s="2430">
        <f t="shared" si="695"/>
        <v>0.75054895235477892</v>
      </c>
      <c r="HP169" s="2000"/>
    </row>
    <row r="170" spans="201:224" x14ac:dyDescent="0.2">
      <c r="GV170" s="396"/>
      <c r="GW170" s="242"/>
      <c r="GX170" s="242"/>
      <c r="GY170" s="242"/>
      <c r="GZ170" s="242"/>
      <c r="HA170" s="242"/>
      <c r="HB170" s="242"/>
      <c r="HC170" s="242"/>
      <c r="HD170" s="242"/>
      <c r="HE170" s="242"/>
      <c r="HF170" s="242"/>
      <c r="HG170" s="242"/>
      <c r="HH170" s="242"/>
      <c r="HP170" s="2000"/>
    </row>
    <row r="171" spans="201:224" ht="13.5" customHeight="1" x14ac:dyDescent="0.2">
      <c r="GU171" s="256"/>
      <c r="GV171" s="396"/>
      <c r="GW171" s="214">
        <f t="shared" ref="GW171:HH171" si="696">GW$28</f>
        <v>2403</v>
      </c>
      <c r="GX171" s="214">
        <f t="shared" si="696"/>
        <v>2406</v>
      </c>
      <c r="GY171" s="214">
        <f t="shared" si="696"/>
        <v>2409</v>
      </c>
      <c r="GZ171" s="214">
        <f t="shared" si="696"/>
        <v>2412</v>
      </c>
      <c r="HA171" s="214">
        <f t="shared" si="696"/>
        <v>2503</v>
      </c>
      <c r="HB171" s="214">
        <f t="shared" si="696"/>
        <v>2506</v>
      </c>
      <c r="HC171" s="214">
        <f t="shared" si="696"/>
        <v>2509</v>
      </c>
      <c r="HD171" s="214">
        <f t="shared" si="696"/>
        <v>2512</v>
      </c>
      <c r="HE171" s="214">
        <f t="shared" si="696"/>
        <v>2603</v>
      </c>
      <c r="HF171" s="214">
        <f t="shared" si="696"/>
        <v>2606</v>
      </c>
      <c r="HG171" s="214">
        <f t="shared" si="696"/>
        <v>2609</v>
      </c>
      <c r="HH171" s="214">
        <f t="shared" si="696"/>
        <v>2612</v>
      </c>
      <c r="HJ171" s="214" t="str">
        <f t="shared" ref="HJ171:HO171" si="697">HJ$10</f>
        <v>Kvartal 2</v>
      </c>
      <c r="HK171" s="214" t="str">
        <f t="shared" si="697"/>
        <v>Kvartal 2</v>
      </c>
      <c r="HL171" s="214" t="str">
        <f t="shared" si="697"/>
        <v>Kvartal 1-2</v>
      </c>
      <c r="HM171" s="214" t="str">
        <f t="shared" si="697"/>
        <v>Kvartal 1-2</v>
      </c>
      <c r="HN171" s="214" t="str">
        <f t="shared" si="697"/>
        <v>Kvartal 2, R12</v>
      </c>
      <c r="HO171" s="214" t="str">
        <f t="shared" si="697"/>
        <v>Helår</v>
      </c>
      <c r="HP171" s="2007"/>
    </row>
    <row r="172" spans="201:224" ht="10.5" customHeight="1" x14ac:dyDescent="0.2">
      <c r="GU172" s="1581"/>
      <c r="GV172" s="396"/>
      <c r="GW172" s="1124"/>
      <c r="GX172" s="1124"/>
      <c r="GY172" s="1124"/>
      <c r="GZ172" s="1124"/>
      <c r="HA172" s="1124"/>
      <c r="HB172" s="1124"/>
      <c r="HC172" s="1124"/>
      <c r="HD172" s="1124"/>
      <c r="HE172" s="1124"/>
      <c r="HF172" s="1124"/>
      <c r="HG172" s="1124"/>
      <c r="HH172" s="1124"/>
      <c r="HJ172" s="1124">
        <f t="shared" ref="HJ172:HO172" si="698">HJ$11</f>
        <v>2026</v>
      </c>
      <c r="HK172" s="1124">
        <f t="shared" si="698"/>
        <v>2025</v>
      </c>
      <c r="HL172" s="1124">
        <f t="shared" si="698"/>
        <v>2026</v>
      </c>
      <c r="HM172" s="1124">
        <f t="shared" si="698"/>
        <v>2025</v>
      </c>
      <c r="HN172" s="1124">
        <f t="shared" si="698"/>
        <v>2026</v>
      </c>
      <c r="HO172" s="1124">
        <f t="shared" si="698"/>
        <v>2025</v>
      </c>
      <c r="HP172" s="2007"/>
    </row>
    <row r="173" spans="201:224" x14ac:dyDescent="0.2">
      <c r="GT173" s="443"/>
      <c r="GU173" s="2092" t="s">
        <v>773</v>
      </c>
      <c r="GV173" s="396"/>
      <c r="GW173" s="2300">
        <f t="shared" ref="GW173:HH173" si="699">CK$29</f>
        <v>11.302500000000016</v>
      </c>
      <c r="GX173" s="2300">
        <f t="shared" si="699"/>
        <v>29.70250000000005</v>
      </c>
      <c r="GY173" s="2300">
        <f t="shared" si="699"/>
        <v>0.50249999999982009</v>
      </c>
      <c r="GZ173" s="2300">
        <f t="shared" si="699"/>
        <v>-1.9974999999997705</v>
      </c>
      <c r="HA173" s="2300">
        <f t="shared" si="699"/>
        <v>34.275000000000063</v>
      </c>
      <c r="HB173" s="2300">
        <f t="shared" si="699"/>
        <v>10.874999999999797</v>
      </c>
      <c r="HC173" s="2300">
        <f t="shared" si="699"/>
        <v>2.4750000000000836</v>
      </c>
      <c r="HD173" s="2300">
        <f t="shared" si="699"/>
        <v>-3.3249999999998927</v>
      </c>
      <c r="HE173" s="2300">
        <f t="shared" si="699"/>
        <v>22.899357999999975</v>
      </c>
      <c r="HF173" s="2300">
        <f t="shared" si="699"/>
        <v>62.872856000000112</v>
      </c>
      <c r="HG173" s="2300">
        <f t="shared" si="699"/>
        <v>-15.000000000000046</v>
      </c>
      <c r="HH173" s="2300">
        <f t="shared" si="699"/>
        <v>21.400000000000095</v>
      </c>
      <c r="HJ173" s="2300">
        <f>HF173</f>
        <v>62.872856000000112</v>
      </c>
      <c r="HK173" s="2300">
        <f>HB173</f>
        <v>10.874999999999797</v>
      </c>
      <c r="HL173" s="2300">
        <f>SUM(HE173:HF173)</f>
        <v>85.772214000000091</v>
      </c>
      <c r="HM173" s="2300">
        <f>SUM(HA173:HB173)</f>
        <v>45.149999999999864</v>
      </c>
      <c r="HN173" s="2300">
        <f>SUM(HC173:HF173)</f>
        <v>84.922214000000281</v>
      </c>
      <c r="HO173" s="2300">
        <f>SUM(HA173:HD173)</f>
        <v>44.300000000000054</v>
      </c>
      <c r="HP173" s="2002"/>
    </row>
    <row r="174" spans="201:224" ht="10.5" customHeight="1" x14ac:dyDescent="0.2">
      <c r="GT174" s="443"/>
      <c r="GU174" s="2297" t="s">
        <v>774</v>
      </c>
      <c r="GV174" s="396"/>
      <c r="GW174" s="2269">
        <f>'Räntekostnader finansinst'!E24/1000</f>
        <v>1.9794301099999998</v>
      </c>
      <c r="GX174" s="2269">
        <f>'Räntekostnader finansinst'!F24/1000</f>
        <v>2.15942765</v>
      </c>
      <c r="GY174" s="2269">
        <f>'Räntekostnader finansinst'!G24/1000</f>
        <v>2.02239207</v>
      </c>
      <c r="GZ174" s="2269">
        <f>'Räntekostnader finansinst'!H24/1000</f>
        <v>0</v>
      </c>
      <c r="HA174" s="2269">
        <f>'Räntekostnader finansinst'!I24/1000</f>
        <v>1.51217991</v>
      </c>
      <c r="HB174" s="2269">
        <f>'Räntekostnader finansinst'!J24/1000</f>
        <v>1.34021302</v>
      </c>
      <c r="HC174" s="2269">
        <f>'Räntekostnader finansinst'!K24/1000</f>
        <v>1.2307499000000002</v>
      </c>
      <c r="HD174" s="2269">
        <f>'Räntekostnader finansinst'!L24/1000</f>
        <v>2.1039480499999996</v>
      </c>
      <c r="HE174" s="2269">
        <f>'Räntekostnader finansinst'!M24/1000</f>
        <v>1.9461505800000001</v>
      </c>
      <c r="HF174" s="2269">
        <f>'Räntekostnader finansinst'!N24/1000</f>
        <v>2.3421331799999994</v>
      </c>
      <c r="HG174" s="2269" t="e">
        <f>'Räntekostnader finansinst'!O24/1000</f>
        <v>#N/A</v>
      </c>
      <c r="HH174" s="2269" t="e">
        <f>'Räntekostnader finansinst'!P24/1000</f>
        <v>#N/A</v>
      </c>
      <c r="HJ174" s="2279">
        <f>HF174</f>
        <v>2.3421331799999994</v>
      </c>
      <c r="HK174" s="2279">
        <f>HB174</f>
        <v>1.34021302</v>
      </c>
      <c r="HL174" s="2279">
        <f>SUM(HE174:HF174)</f>
        <v>4.2882837599999997</v>
      </c>
      <c r="HM174" s="2279">
        <f>SUM(HA174:HB174)</f>
        <v>2.8523929299999997</v>
      </c>
      <c r="HN174" s="2279">
        <f>SUM(HC174:HF174)</f>
        <v>7.6229817099999995</v>
      </c>
      <c r="HO174" s="2279">
        <f>SUM(HA174:HD174)</f>
        <v>6.1870908799999995</v>
      </c>
      <c r="HP174" s="2002"/>
    </row>
    <row r="175" spans="201:224" x14ac:dyDescent="0.2">
      <c r="GU175" s="2298" t="s">
        <v>775</v>
      </c>
      <c r="GV175" s="396"/>
      <c r="GW175" s="2299">
        <f>GW174</f>
        <v>1.9794301099999998</v>
      </c>
      <c r="GX175" s="2299">
        <f t="shared" ref="GX175:HH175" si="700">GX174</f>
        <v>2.15942765</v>
      </c>
      <c r="GY175" s="2299">
        <f t="shared" si="700"/>
        <v>2.02239207</v>
      </c>
      <c r="GZ175" s="2299">
        <f t="shared" si="700"/>
        <v>0</v>
      </c>
      <c r="HA175" s="2299">
        <f t="shared" si="700"/>
        <v>1.51217991</v>
      </c>
      <c r="HB175" s="2299">
        <f t="shared" si="700"/>
        <v>1.34021302</v>
      </c>
      <c r="HC175" s="2299">
        <f t="shared" si="700"/>
        <v>1.2307499000000002</v>
      </c>
      <c r="HD175" s="2299">
        <f t="shared" si="700"/>
        <v>2.1039480499999996</v>
      </c>
      <c r="HE175" s="2299">
        <f t="shared" si="700"/>
        <v>1.9461505800000001</v>
      </c>
      <c r="HF175" s="2299">
        <f t="shared" si="700"/>
        <v>2.3421331799999994</v>
      </c>
      <c r="HG175" s="2299" t="e">
        <f t="shared" si="700"/>
        <v>#N/A</v>
      </c>
      <c r="HH175" s="2299" t="e">
        <f t="shared" si="700"/>
        <v>#N/A</v>
      </c>
      <c r="HJ175" s="2301">
        <f>HF175</f>
        <v>2.3421331799999994</v>
      </c>
      <c r="HK175" s="2301">
        <f>HB175</f>
        <v>1.34021302</v>
      </c>
      <c r="HL175" s="2301">
        <f>SUM(HE175:HF175)</f>
        <v>4.2882837599999997</v>
      </c>
      <c r="HM175" s="2301">
        <f>SUM(HA175:HB175)</f>
        <v>2.8523929299999997</v>
      </c>
      <c r="HN175" s="2301">
        <f>SUM(HC175:HF175)</f>
        <v>7.6229817099999995</v>
      </c>
      <c r="HO175" s="2301">
        <f>SUM(HA175:HD175)</f>
        <v>6.1870908799999995</v>
      </c>
      <c r="HP175" s="2002"/>
    </row>
    <row r="176" spans="201:224" x14ac:dyDescent="0.2">
      <c r="GU176" s="1146" t="s">
        <v>778</v>
      </c>
      <c r="GV176" s="396"/>
      <c r="GW176" s="2302">
        <f>(GW173+GW174)/GW175</f>
        <v>6.7099767973116347</v>
      </c>
      <c r="GX176" s="2302">
        <f t="shared" ref="GX176:HH176" si="701">(GX173+GX174)/GX175</f>
        <v>14.7548021115688</v>
      </c>
      <c r="GY176" s="2302">
        <f t="shared" si="701"/>
        <v>1.2484681419858514</v>
      </c>
      <c r="GZ176" s="2302" t="e">
        <f t="shared" si="701"/>
        <v>#DIV/0!</v>
      </c>
      <c r="HA176" s="2302">
        <f t="shared" si="701"/>
        <v>23.665953814979638</v>
      </c>
      <c r="HB176" s="2302">
        <f t="shared" si="701"/>
        <v>9.1143816973213685</v>
      </c>
      <c r="HC176" s="2302">
        <f t="shared" si="701"/>
        <v>3.0109690847832553</v>
      </c>
      <c r="HD176" s="2302">
        <f t="shared" si="701"/>
        <v>-0.58036221474189598</v>
      </c>
      <c r="HE176" s="2302">
        <f t="shared" si="701"/>
        <v>12.766488284786254</v>
      </c>
      <c r="HF176" s="2302">
        <f t="shared" si="701"/>
        <v>27.844270230610942</v>
      </c>
      <c r="HG176" s="2302" t="e">
        <f t="shared" si="701"/>
        <v>#N/A</v>
      </c>
      <c r="HH176" s="2302" t="e">
        <f t="shared" si="701"/>
        <v>#N/A</v>
      </c>
      <c r="HJ176" s="2302">
        <f t="shared" ref="HJ176:HK176" si="702">(HJ173+HJ174)/HJ175</f>
        <v>27.844270230610942</v>
      </c>
      <c r="HK176" s="2302">
        <f t="shared" si="702"/>
        <v>9.1143816973213685</v>
      </c>
      <c r="HL176" s="2302">
        <f t="shared" ref="HL176" si="703">(HL173+HL174)/HL175</f>
        <v>21.001524805811847</v>
      </c>
      <c r="HM176" s="2302">
        <f t="shared" ref="HM176" si="704">(HM173+HM174)/HM175</f>
        <v>16.828815001304839</v>
      </c>
      <c r="HN176" s="2302">
        <f t="shared" ref="HN176" si="705">(HN173+HN174)/HN175</f>
        <v>12.140288305899698</v>
      </c>
      <c r="HO176" s="2302">
        <f t="shared" ref="HO176" si="706">(HO173+HO174)/HO175</f>
        <v>8.1600693862767475</v>
      </c>
      <c r="HP176" s="2002"/>
    </row>
    <row r="177" spans="201:241" ht="10.5" customHeight="1" x14ac:dyDescent="0.2">
      <c r="GS177" s="433"/>
      <c r="GU177" s="2092"/>
      <c r="GV177" s="396"/>
      <c r="GW177" s="2300"/>
      <c r="GX177" s="2300"/>
      <c r="GY177" s="2300"/>
      <c r="GZ177" s="2300"/>
      <c r="HA177" s="2300"/>
      <c r="HB177" s="2300"/>
      <c r="HC177" s="2300"/>
      <c r="HD177" s="2300"/>
      <c r="HE177" s="2300"/>
      <c r="HF177" s="2300"/>
      <c r="HG177" s="2300"/>
      <c r="HH177" s="2300"/>
      <c r="HJ177" s="426">
        <f>SUM(HJ173:HJ174)</f>
        <v>65.214989180000117</v>
      </c>
      <c r="HK177" s="426">
        <f t="shared" ref="HK177:HO177" si="707">SUM(HK173:HK174)</f>
        <v>12.215213019999798</v>
      </c>
      <c r="HL177" s="426">
        <f t="shared" si="707"/>
        <v>90.060497760000089</v>
      </c>
      <c r="HM177" s="426">
        <f t="shared" si="707"/>
        <v>48.002392929999864</v>
      </c>
      <c r="HN177" s="426">
        <f t="shared" si="707"/>
        <v>92.545195710000286</v>
      </c>
      <c r="HO177" s="426">
        <f t="shared" si="707"/>
        <v>50.487090880000054</v>
      </c>
      <c r="HP177" s="2002"/>
    </row>
    <row r="178" spans="201:241" ht="10.5" customHeight="1" x14ac:dyDescent="0.2">
      <c r="GS178" s="433"/>
      <c r="GU178" s="2092" t="s">
        <v>776</v>
      </c>
      <c r="GV178" s="396"/>
      <c r="GW178" s="2300">
        <f>SUM($GW173:GW173)</f>
        <v>11.302500000000016</v>
      </c>
      <c r="GX178" s="2300">
        <f>SUM($GW173:GX173)</f>
        <v>41.005000000000067</v>
      </c>
      <c r="GY178" s="2300">
        <f>SUM($GW173:GY173)</f>
        <v>41.507499999999887</v>
      </c>
      <c r="GZ178" s="2300">
        <f>SUM($GW173:GZ173)</f>
        <v>39.510000000000119</v>
      </c>
      <c r="HA178" s="2300">
        <f>SUM($HA173:HA173)</f>
        <v>34.275000000000063</v>
      </c>
      <c r="HB178" s="2300">
        <f>SUM($HA173:HB173)</f>
        <v>45.149999999999864</v>
      </c>
      <c r="HC178" s="2300">
        <f>SUM($HA173:HC173)</f>
        <v>47.62499999999995</v>
      </c>
      <c r="HD178" s="2300">
        <f>SUM($HA173:HD173)</f>
        <v>44.300000000000054</v>
      </c>
      <c r="HE178" s="2300">
        <f>SUM($HE173:HE173)</f>
        <v>22.899357999999975</v>
      </c>
      <c r="HF178" s="2300">
        <f>SUM($HE173:HF173)</f>
        <v>85.772214000000091</v>
      </c>
      <c r="HG178" s="2300">
        <f>SUM($HE173:HG173)</f>
        <v>70.772214000000048</v>
      </c>
      <c r="HH178" s="2300">
        <f>SUM($HE173:HH173)</f>
        <v>92.172214000000139</v>
      </c>
      <c r="HJ178" s="426"/>
      <c r="HK178" s="426"/>
      <c r="HL178" s="426"/>
      <c r="HM178" s="426"/>
      <c r="HN178" s="426"/>
      <c r="HO178" s="426"/>
      <c r="HP178" s="2002"/>
    </row>
    <row r="179" spans="201:241" x14ac:dyDescent="0.2">
      <c r="GU179" s="2092" t="s">
        <v>777</v>
      </c>
      <c r="GV179" s="396"/>
      <c r="GW179" s="2090">
        <f>SUM($GW174:GW174)</f>
        <v>1.9794301099999998</v>
      </c>
      <c r="GX179" s="2090">
        <f>SUM($GW174:GX174)</f>
        <v>4.1388577599999996</v>
      </c>
      <c r="GY179" s="2090">
        <f>SUM($GW174:GY174)</f>
        <v>6.1612498299999992</v>
      </c>
      <c r="GZ179" s="2090">
        <f>SUM($GW174:GZ174)</f>
        <v>6.1612498299999992</v>
      </c>
      <c r="HA179" s="2090">
        <f>SUM($HA174:HA174)</f>
        <v>1.51217991</v>
      </c>
      <c r="HB179" s="2090">
        <f>SUM($HA174:HB174)</f>
        <v>2.8523929299999997</v>
      </c>
      <c r="HC179" s="2090">
        <f>SUM($HA174:HC174)</f>
        <v>4.0831428299999999</v>
      </c>
      <c r="HD179" s="2090">
        <f>SUM($HA174:HD174)</f>
        <v>6.1870908799999995</v>
      </c>
      <c r="HE179" s="2090">
        <f>SUM($HE174:HE174)</f>
        <v>1.9461505800000001</v>
      </c>
      <c r="HF179" s="2090">
        <f>SUM($HE174:HF174)</f>
        <v>4.2882837599999997</v>
      </c>
      <c r="HG179" s="2090" t="e">
        <f>SUM($HE174:HG174)</f>
        <v>#N/A</v>
      </c>
      <c r="HH179" s="2090" t="e">
        <f>SUM($HE174:HH174)</f>
        <v>#N/A</v>
      </c>
      <c r="HJ179" s="426"/>
      <c r="HK179" s="426"/>
      <c r="HL179" s="426"/>
      <c r="HM179" s="426"/>
      <c r="HN179" s="426"/>
      <c r="HO179" s="426"/>
      <c r="HP179" s="2002"/>
    </row>
    <row r="180" spans="201:241" x14ac:dyDescent="0.2">
      <c r="GU180" s="2093" t="s">
        <v>779</v>
      </c>
      <c r="GV180" s="396"/>
      <c r="GW180" s="2091">
        <f>SUM($GW175:GW175)</f>
        <v>1.9794301099999998</v>
      </c>
      <c r="GX180" s="2091">
        <f>SUM($GW175:GX175)</f>
        <v>4.1388577599999996</v>
      </c>
      <c r="GY180" s="2091">
        <f>SUM($GW175:GY175)</f>
        <v>6.1612498299999992</v>
      </c>
      <c r="GZ180" s="2091">
        <f>SUM($GW175:GZ175)</f>
        <v>6.1612498299999992</v>
      </c>
      <c r="HA180" s="2091">
        <f>SUM($HA175:HA175)</f>
        <v>1.51217991</v>
      </c>
      <c r="HB180" s="2091">
        <f>SUM($HA175:HB175)</f>
        <v>2.8523929299999997</v>
      </c>
      <c r="HC180" s="2091">
        <f>SUM($HA175:HC175)</f>
        <v>4.0831428299999999</v>
      </c>
      <c r="HD180" s="2091">
        <f>SUM($HA175:HD175)</f>
        <v>6.1870908799999995</v>
      </c>
      <c r="HE180" s="2091">
        <f>SUM($HE175:HE175)</f>
        <v>1.9461505800000001</v>
      </c>
      <c r="HF180" s="2091">
        <f>SUM($HE175:HF175)</f>
        <v>4.2882837599999997</v>
      </c>
      <c r="HG180" s="2091" t="e">
        <f>SUM($HE175:HG175)</f>
        <v>#N/A</v>
      </c>
      <c r="HH180" s="2091" t="e">
        <f>SUM($HE175:HH175)</f>
        <v>#N/A</v>
      </c>
      <c r="HJ180" s="426"/>
      <c r="HK180" s="426"/>
      <c r="HL180" s="426"/>
      <c r="HM180" s="426"/>
      <c r="HN180" s="426"/>
      <c r="HO180" s="426"/>
      <c r="HP180" s="2002"/>
    </row>
    <row r="181" spans="201:241" x14ac:dyDescent="0.2">
      <c r="GU181" s="1146" t="s">
        <v>780</v>
      </c>
      <c r="GV181" s="396"/>
      <c r="GW181" s="2302">
        <f>(GW178+GW179)/GW180</f>
        <v>6.7099767973116347</v>
      </c>
      <c r="GX181" s="2302">
        <f t="shared" ref="GX181:HH181" si="708">(GX178+GX179)/GX180</f>
        <v>10.90732283585413</v>
      </c>
      <c r="GY181" s="2302">
        <f t="shared" si="708"/>
        <v>7.736863647030507</v>
      </c>
      <c r="GZ181" s="2302">
        <f t="shared" si="708"/>
        <v>7.4126599456526385</v>
      </c>
      <c r="HA181" s="2302">
        <f t="shared" si="708"/>
        <v>23.665953814979638</v>
      </c>
      <c r="HB181" s="2302">
        <f t="shared" si="708"/>
        <v>16.828815001304839</v>
      </c>
      <c r="HC181" s="2302">
        <f t="shared" si="708"/>
        <v>12.663809468061139</v>
      </c>
      <c r="HD181" s="2302">
        <f t="shared" si="708"/>
        <v>8.1600693862767475</v>
      </c>
      <c r="HE181" s="2302">
        <f t="shared" si="708"/>
        <v>12.766488284786254</v>
      </c>
      <c r="HF181" s="2302">
        <f t="shared" si="708"/>
        <v>21.001524805811847</v>
      </c>
      <c r="HG181" s="2302" t="e">
        <f t="shared" si="708"/>
        <v>#N/A</v>
      </c>
      <c r="HH181" s="2302" t="e">
        <f t="shared" si="708"/>
        <v>#N/A</v>
      </c>
      <c r="HJ181" s="426"/>
      <c r="HK181" s="426"/>
      <c r="HL181" s="426"/>
      <c r="HM181" s="426"/>
      <c r="HN181" s="426"/>
      <c r="HO181" s="426"/>
      <c r="HP181" s="2002"/>
      <c r="HZ181" s="895"/>
      <c r="IA181" s="443"/>
      <c r="IB181" s="446"/>
      <c r="IC181" s="446"/>
      <c r="ID181" s="446"/>
      <c r="IE181" s="446"/>
      <c r="IF181" s="446"/>
      <c r="IG181" s="446"/>
    </row>
    <row r="182" spans="201:241" x14ac:dyDescent="0.2">
      <c r="GV182" s="396"/>
      <c r="GW182" s="1564"/>
      <c r="GX182" s="1564"/>
      <c r="GY182" s="1564"/>
      <c r="GZ182" s="1564"/>
      <c r="HA182" s="1564"/>
      <c r="HB182" s="1564"/>
      <c r="HC182" s="1564"/>
      <c r="HD182" s="1564"/>
      <c r="HE182" s="1564"/>
      <c r="HF182" s="1564"/>
      <c r="HG182" s="1564"/>
      <c r="HH182" s="1564"/>
      <c r="HP182" s="2000"/>
    </row>
    <row r="183" spans="201:241" ht="10.5" customHeight="1" x14ac:dyDescent="0.2">
      <c r="GU183" s="256"/>
      <c r="GV183" s="396"/>
      <c r="GW183" s="214">
        <f t="shared" ref="GW183:HH183" si="709">GW$28</f>
        <v>2403</v>
      </c>
      <c r="GX183" s="214">
        <f t="shared" si="709"/>
        <v>2406</v>
      </c>
      <c r="GY183" s="214">
        <f t="shared" si="709"/>
        <v>2409</v>
      </c>
      <c r="GZ183" s="214">
        <f t="shared" si="709"/>
        <v>2412</v>
      </c>
      <c r="HA183" s="214">
        <f t="shared" si="709"/>
        <v>2503</v>
      </c>
      <c r="HB183" s="214">
        <f t="shared" si="709"/>
        <v>2506</v>
      </c>
      <c r="HC183" s="214">
        <f t="shared" si="709"/>
        <v>2509</v>
      </c>
      <c r="HD183" s="214">
        <f t="shared" si="709"/>
        <v>2512</v>
      </c>
      <c r="HE183" s="214">
        <f t="shared" si="709"/>
        <v>2603</v>
      </c>
      <c r="HF183" s="214">
        <f t="shared" si="709"/>
        <v>2606</v>
      </c>
      <c r="HG183" s="214">
        <f t="shared" si="709"/>
        <v>2609</v>
      </c>
      <c r="HH183" s="214">
        <f t="shared" si="709"/>
        <v>2612</v>
      </c>
      <c r="HJ183" s="214" t="str">
        <f t="shared" ref="HJ183:HO183" si="710">HJ$10</f>
        <v>Kvartal 2</v>
      </c>
      <c r="HK183" s="214" t="str">
        <f t="shared" si="710"/>
        <v>Kvartal 2</v>
      </c>
      <c r="HL183" s="214" t="str">
        <f t="shared" si="710"/>
        <v>Kvartal 1-2</v>
      </c>
      <c r="HM183" s="214" t="str">
        <f t="shared" si="710"/>
        <v>Kvartal 1-2</v>
      </c>
      <c r="HN183" s="214" t="str">
        <f t="shared" si="710"/>
        <v>Kvartal 2, R12</v>
      </c>
      <c r="HO183" s="214" t="str">
        <f t="shared" si="710"/>
        <v>Helår</v>
      </c>
      <c r="HP183" s="2007"/>
    </row>
    <row r="184" spans="201:241" ht="10.5" customHeight="1" x14ac:dyDescent="0.2">
      <c r="GU184" s="1581"/>
      <c r="GV184" s="396"/>
      <c r="GW184" s="1124"/>
      <c r="GX184" s="1124"/>
      <c r="GY184" s="1124"/>
      <c r="GZ184" s="1124"/>
      <c r="HA184" s="1124"/>
      <c r="HB184" s="1124"/>
      <c r="HC184" s="1124"/>
      <c r="HD184" s="1124"/>
      <c r="HE184" s="1124"/>
      <c r="HF184" s="1124"/>
      <c r="HG184" s="1124"/>
      <c r="HH184" s="1124"/>
      <c r="HJ184" s="1124">
        <f t="shared" ref="HJ184:HO184" si="711">HJ$11</f>
        <v>2026</v>
      </c>
      <c r="HK184" s="1124">
        <f t="shared" si="711"/>
        <v>2025</v>
      </c>
      <c r="HL184" s="1124">
        <f t="shared" si="711"/>
        <v>2026</v>
      </c>
      <c r="HM184" s="1124">
        <f t="shared" si="711"/>
        <v>2025</v>
      </c>
      <c r="HN184" s="1124">
        <f t="shared" si="711"/>
        <v>2026</v>
      </c>
      <c r="HO184" s="1124">
        <f t="shared" si="711"/>
        <v>2025</v>
      </c>
      <c r="HP184" s="2007"/>
    </row>
    <row r="185" spans="201:241" x14ac:dyDescent="0.2">
      <c r="GU185" s="264" t="s">
        <v>770</v>
      </c>
      <c r="GV185" s="396"/>
      <c r="GW185" s="1140">
        <f t="shared" ref="GW185:HH185" si="712">G$12</f>
        <v>581.20000000000005</v>
      </c>
      <c r="GX185" s="1140">
        <f t="shared" si="712"/>
        <v>1185.7</v>
      </c>
      <c r="GY185" s="1140">
        <f t="shared" si="712"/>
        <v>1692.3</v>
      </c>
      <c r="GZ185" s="1140">
        <f t="shared" si="712"/>
        <v>2271.8000000000002</v>
      </c>
      <c r="HA185" s="1140">
        <f t="shared" si="712"/>
        <v>639.6</v>
      </c>
      <c r="HB185" s="1140">
        <f t="shared" si="712"/>
        <v>1311.6</v>
      </c>
      <c r="HC185" s="1140">
        <f t="shared" si="712"/>
        <v>1809.4</v>
      </c>
      <c r="HD185" s="1140">
        <f t="shared" si="712"/>
        <v>2329.8000000000002</v>
      </c>
      <c r="HE185" s="1140">
        <f t="shared" si="712"/>
        <v>609.6</v>
      </c>
      <c r="HF185" s="1140">
        <f t="shared" si="712"/>
        <v>1294.3</v>
      </c>
      <c r="HG185" s="1140">
        <f t="shared" si="712"/>
        <v>1809.4</v>
      </c>
      <c r="HH185" s="1140">
        <f t="shared" si="712"/>
        <v>2329.8000000000002</v>
      </c>
      <c r="HJ185" s="1140">
        <f>HF185</f>
        <v>1294.3</v>
      </c>
      <c r="HK185" s="1140">
        <f>HB185</f>
        <v>1311.6</v>
      </c>
      <c r="HL185" s="1140">
        <f>HJ185</f>
        <v>1294.3</v>
      </c>
      <c r="HM185" s="1140">
        <f>HK185</f>
        <v>1311.6</v>
      </c>
      <c r="HN185" s="1140">
        <f>SUM(HC12:HF12)</f>
        <v>2312.5</v>
      </c>
      <c r="HO185" s="1140">
        <f>HD185</f>
        <v>2329.8000000000002</v>
      </c>
      <c r="HP185" s="2000"/>
    </row>
    <row r="186" spans="201:241" ht="10.5" customHeight="1" x14ac:dyDescent="0.2">
      <c r="GU186" s="1145" t="s">
        <v>771</v>
      </c>
      <c r="GV186" s="396"/>
      <c r="GW186" s="1142">
        <v>4</v>
      </c>
      <c r="GX186" s="1142">
        <v>2</v>
      </c>
      <c r="GY186" s="1142">
        <v>1.3333299999999999</v>
      </c>
      <c r="GZ186" s="1142">
        <v>1</v>
      </c>
      <c r="HA186" s="1142">
        <f>GW186</f>
        <v>4</v>
      </c>
      <c r="HB186" s="1142">
        <f t="shared" ref="HB186:HH186" si="713">GX186</f>
        <v>2</v>
      </c>
      <c r="HC186" s="1142">
        <f t="shared" si="713"/>
        <v>1.3333299999999999</v>
      </c>
      <c r="HD186" s="1142">
        <f t="shared" si="713"/>
        <v>1</v>
      </c>
      <c r="HE186" s="1142">
        <f t="shared" si="713"/>
        <v>4</v>
      </c>
      <c r="HF186" s="1142">
        <f t="shared" si="713"/>
        <v>2</v>
      </c>
      <c r="HG186" s="1142">
        <f t="shared" si="713"/>
        <v>1.3333299999999999</v>
      </c>
      <c r="HH186" s="1142">
        <f t="shared" si="713"/>
        <v>1</v>
      </c>
      <c r="HJ186" s="1142">
        <f>HF186</f>
        <v>2</v>
      </c>
      <c r="HK186" s="1142">
        <f>HB186</f>
        <v>2</v>
      </c>
      <c r="HL186" s="1142">
        <f t="shared" ref="HL186:HL187" si="714">HJ186</f>
        <v>2</v>
      </c>
      <c r="HM186" s="1142">
        <f t="shared" ref="HM186:HM187" si="715">HK186</f>
        <v>2</v>
      </c>
      <c r="HN186" s="1142"/>
      <c r="HO186" s="1142">
        <f>HD186</f>
        <v>1</v>
      </c>
      <c r="HP186" s="2000"/>
      <c r="HS186" s="443"/>
      <c r="HT186" s="443"/>
      <c r="HU186" s="443"/>
      <c r="HV186" s="443"/>
      <c r="HW186" s="443"/>
      <c r="HX186" s="443"/>
      <c r="HY186" s="443"/>
    </row>
    <row r="187" spans="201:241" x14ac:dyDescent="0.2">
      <c r="GU187" s="1146" t="s">
        <v>772</v>
      </c>
      <c r="GV187" s="396"/>
      <c r="GW187" s="1143">
        <f>GW185*GW186</f>
        <v>2324.8000000000002</v>
      </c>
      <c r="GX187" s="1143">
        <f t="shared" ref="GX187:HH187" si="716">GX185*GX186</f>
        <v>2371.4</v>
      </c>
      <c r="GY187" s="1143">
        <f t="shared" si="716"/>
        <v>2256.3943589999999</v>
      </c>
      <c r="GZ187" s="1143">
        <f t="shared" si="716"/>
        <v>2271.8000000000002</v>
      </c>
      <c r="HA187" s="1143">
        <f t="shared" si="716"/>
        <v>2558.4</v>
      </c>
      <c r="HB187" s="1143">
        <f t="shared" si="716"/>
        <v>2623.2</v>
      </c>
      <c r="HC187" s="1143">
        <f t="shared" si="716"/>
        <v>2412.527302</v>
      </c>
      <c r="HD187" s="1143">
        <f t="shared" si="716"/>
        <v>2329.8000000000002</v>
      </c>
      <c r="HE187" s="1143">
        <f t="shared" si="716"/>
        <v>2438.4</v>
      </c>
      <c r="HF187" s="1143">
        <f t="shared" si="716"/>
        <v>2588.6</v>
      </c>
      <c r="HG187" s="1143">
        <f t="shared" si="716"/>
        <v>2412.527302</v>
      </c>
      <c r="HH187" s="1143">
        <f t="shared" si="716"/>
        <v>2329.8000000000002</v>
      </c>
      <c r="HJ187" s="1143">
        <f>HF187</f>
        <v>2588.6</v>
      </c>
      <c r="HK187" s="1143">
        <f>HB187</f>
        <v>2623.2</v>
      </c>
      <c r="HL187" s="1143">
        <f t="shared" si="714"/>
        <v>2588.6</v>
      </c>
      <c r="HM187" s="1143">
        <f t="shared" si="715"/>
        <v>2623.2</v>
      </c>
      <c r="HN187" s="1143">
        <f>SUM(HN185:HN186)</f>
        <v>2312.5</v>
      </c>
      <c r="HO187" s="1143">
        <f>HD187</f>
        <v>2329.8000000000002</v>
      </c>
      <c r="HP187" s="2000"/>
    </row>
    <row r="188" spans="201:241" ht="10.5" customHeight="1" x14ac:dyDescent="0.2">
      <c r="GU188" s="1146" t="s">
        <v>760</v>
      </c>
      <c r="GV188" s="396"/>
      <c r="GW188" s="1568">
        <f t="shared" ref="GW188:HH188" si="717">GW140</f>
        <v>0</v>
      </c>
      <c r="GX188" s="1568">
        <f t="shared" si="717"/>
        <v>0</v>
      </c>
      <c r="GY188" s="1568">
        <f t="shared" si="717"/>
        <v>0</v>
      </c>
      <c r="GZ188" s="1568">
        <f t="shared" si="717"/>
        <v>0</v>
      </c>
      <c r="HA188" s="1568">
        <f t="shared" si="717"/>
        <v>1565.2479250805363</v>
      </c>
      <c r="HB188" s="1568">
        <f t="shared" si="717"/>
        <v>1572.8228039581545</v>
      </c>
      <c r="HC188" s="1568">
        <f t="shared" si="717"/>
        <v>1604.6677828317656</v>
      </c>
      <c r="HD188" s="1568">
        <f t="shared" si="717"/>
        <v>1621.8005604000243</v>
      </c>
      <c r="HE188" s="1568">
        <f t="shared" si="717"/>
        <v>1693.1750081435944</v>
      </c>
      <c r="HF188" s="1568">
        <f t="shared" si="717"/>
        <v>1704.3269815200001</v>
      </c>
      <c r="HG188" s="1568">
        <f t="shared" si="717"/>
        <v>850.81127997902433</v>
      </c>
      <c r="HH188" s="1568">
        <f t="shared" si="717"/>
        <v>850.81127997902433</v>
      </c>
      <c r="HJ188" s="1568">
        <f>HJ140</f>
        <v>1695.879429705546</v>
      </c>
      <c r="HK188" s="1568">
        <f t="shared" ref="HK188:HO188" si="718">HK140</f>
        <v>1596.0921681966909</v>
      </c>
      <c r="HL188" s="1568">
        <f t="shared" si="718"/>
        <v>1704.3269815200001</v>
      </c>
      <c r="HM188" s="1568">
        <f t="shared" si="718"/>
        <v>1572.8228039581545</v>
      </c>
      <c r="HN188" s="1568">
        <f t="shared" si="718"/>
        <v>1655.3492250781305</v>
      </c>
      <c r="HO188" s="1568">
        <f t="shared" si="718"/>
        <v>1621.8005604000243</v>
      </c>
      <c r="HP188" s="2000"/>
    </row>
    <row r="189" spans="201:241" ht="12" thickBot="1" x14ac:dyDescent="0.25">
      <c r="GU189" s="2303" t="s">
        <v>414</v>
      </c>
      <c r="GV189" s="396"/>
      <c r="GW189" s="1567" t="str">
        <f>IFERROR(GW187/GW188,"N/A")</f>
        <v>N/A</v>
      </c>
      <c r="GX189" s="1567" t="str">
        <f t="shared" ref="GX189:HO189" si="719">IFERROR(GX187/GX188,"N/A")</f>
        <v>N/A</v>
      </c>
      <c r="GY189" s="1567" t="str">
        <f t="shared" si="719"/>
        <v>N/A</v>
      </c>
      <c r="GZ189" s="1567" t="str">
        <f t="shared" si="719"/>
        <v>N/A</v>
      </c>
      <c r="HA189" s="1567">
        <f t="shared" si="719"/>
        <v>1.6345014479852216</v>
      </c>
      <c r="HB189" s="1567">
        <f t="shared" si="719"/>
        <v>1.6678293278800851</v>
      </c>
      <c r="HC189" s="1567">
        <f t="shared" si="719"/>
        <v>1.5034434714845464</v>
      </c>
      <c r="HD189" s="1567">
        <f t="shared" si="719"/>
        <v>1.4365514828933987</v>
      </c>
      <c r="HE189" s="1567">
        <f t="shared" si="719"/>
        <v>1.4401346513338122</v>
      </c>
      <c r="HF189" s="1567">
        <f t="shared" si="719"/>
        <v>1.5188400043349446</v>
      </c>
      <c r="HG189" s="1567">
        <f t="shared" si="719"/>
        <v>2.8355610213107161</v>
      </c>
      <c r="HH189" s="1567">
        <f t="shared" si="719"/>
        <v>2.738327587825867</v>
      </c>
      <c r="HJ189" s="2440">
        <f t="shared" si="719"/>
        <v>1.5264056834803734</v>
      </c>
      <c r="HK189" s="2440">
        <f t="shared" si="719"/>
        <v>1.643514110443737</v>
      </c>
      <c r="HL189" s="2440">
        <f t="shared" si="719"/>
        <v>1.5188400043349446</v>
      </c>
      <c r="HM189" s="2440">
        <f t="shared" si="719"/>
        <v>1.6678293278800851</v>
      </c>
      <c r="HN189" s="2440">
        <f t="shared" si="719"/>
        <v>1.3969861857342234</v>
      </c>
      <c r="HO189" s="2440">
        <f t="shared" si="719"/>
        <v>1.4365514828933987</v>
      </c>
      <c r="HP189" s="2000"/>
    </row>
    <row r="190" spans="201:241" ht="12" thickTop="1" x14ac:dyDescent="0.2">
      <c r="HP190" s="2009"/>
    </row>
    <row r="191" spans="201:241" ht="10.5" customHeight="1" x14ac:dyDescent="0.2">
      <c r="GU191" s="256"/>
      <c r="GV191" s="396"/>
      <c r="GW191" s="214">
        <f t="shared" ref="GW191:HH191" si="720">GW$28</f>
        <v>2403</v>
      </c>
      <c r="GX191" s="214">
        <f t="shared" si="720"/>
        <v>2406</v>
      </c>
      <c r="GY191" s="214">
        <f t="shared" si="720"/>
        <v>2409</v>
      </c>
      <c r="GZ191" s="214">
        <f t="shared" si="720"/>
        <v>2412</v>
      </c>
      <c r="HA191" s="214">
        <f t="shared" si="720"/>
        <v>2503</v>
      </c>
      <c r="HB191" s="214">
        <f t="shared" si="720"/>
        <v>2506</v>
      </c>
      <c r="HC191" s="214">
        <f t="shared" si="720"/>
        <v>2509</v>
      </c>
      <c r="HD191" s="214">
        <f t="shared" si="720"/>
        <v>2512</v>
      </c>
      <c r="HE191" s="214">
        <f t="shared" si="720"/>
        <v>2603</v>
      </c>
      <c r="HF191" s="214">
        <f t="shared" si="720"/>
        <v>2606</v>
      </c>
      <c r="HG191" s="214">
        <f t="shared" si="720"/>
        <v>2609</v>
      </c>
      <c r="HH191" s="214">
        <f t="shared" si="720"/>
        <v>2612</v>
      </c>
      <c r="HJ191" s="214" t="str">
        <f t="shared" ref="HJ191:HO191" si="721">HJ$10</f>
        <v>Kvartal 2</v>
      </c>
      <c r="HK191" s="214" t="str">
        <f t="shared" si="721"/>
        <v>Kvartal 2</v>
      </c>
      <c r="HL191" s="214" t="str">
        <f t="shared" si="721"/>
        <v>Kvartal 1-2</v>
      </c>
      <c r="HM191" s="214" t="str">
        <f t="shared" si="721"/>
        <v>Kvartal 1-2</v>
      </c>
      <c r="HN191" s="214" t="str">
        <f t="shared" si="721"/>
        <v>Kvartal 2, R12</v>
      </c>
      <c r="HO191" s="214" t="str">
        <f t="shared" si="721"/>
        <v>Helår</v>
      </c>
      <c r="HP191" s="2007"/>
    </row>
    <row r="192" spans="201:241" ht="10.5" customHeight="1" x14ac:dyDescent="0.2">
      <c r="GU192" s="1581"/>
      <c r="GV192" s="396"/>
      <c r="GW192" s="1124"/>
      <c r="GX192" s="1124"/>
      <c r="GY192" s="1124"/>
      <c r="GZ192" s="1124"/>
      <c r="HA192" s="1124"/>
      <c r="HB192" s="1124"/>
      <c r="HC192" s="1124"/>
      <c r="HD192" s="1124"/>
      <c r="HE192" s="1124"/>
      <c r="HF192" s="1124"/>
      <c r="HG192" s="1124"/>
      <c r="HH192" s="1124"/>
      <c r="HJ192" s="1124">
        <f t="shared" ref="HJ192:HO192" si="722">HJ$11</f>
        <v>2026</v>
      </c>
      <c r="HK192" s="1124">
        <f t="shared" si="722"/>
        <v>2025</v>
      </c>
      <c r="HL192" s="1124">
        <f t="shared" si="722"/>
        <v>2026</v>
      </c>
      <c r="HM192" s="1124">
        <f t="shared" si="722"/>
        <v>2025</v>
      </c>
      <c r="HN192" s="1124">
        <f t="shared" si="722"/>
        <v>2026</v>
      </c>
      <c r="HO192" s="1124">
        <f t="shared" si="722"/>
        <v>2025</v>
      </c>
      <c r="HP192" s="2007"/>
    </row>
    <row r="193" spans="1:276" x14ac:dyDescent="0.2">
      <c r="GU193" s="1342" t="s">
        <v>792</v>
      </c>
      <c r="GV193" s="396"/>
      <c r="GW193" s="2131">
        <f t="shared" ref="GW193:HH193" si="723">CK38</f>
        <v>2.077</v>
      </c>
      <c r="GX193" s="2131">
        <f t="shared" si="723"/>
        <v>2.1870000000000003</v>
      </c>
      <c r="GY193" s="2131">
        <f t="shared" si="723"/>
        <v>2.1269999999999998</v>
      </c>
      <c r="GZ193" s="2131">
        <f t="shared" si="723"/>
        <v>3.9999999999995595E-3</v>
      </c>
      <c r="HA193" s="2131">
        <f t="shared" si="723"/>
        <v>1.593</v>
      </c>
      <c r="HB193" s="2131">
        <f t="shared" si="723"/>
        <v>1.4060000000000001</v>
      </c>
      <c r="HC193" s="2131">
        <f t="shared" si="723"/>
        <v>0.84299999999999997</v>
      </c>
      <c r="HD193" s="2131">
        <f t="shared" si="723"/>
        <v>0.74299999999999988</v>
      </c>
      <c r="HE193" s="2131">
        <f t="shared" si="723"/>
        <v>1.103</v>
      </c>
      <c r="HF193" s="2131">
        <f t="shared" si="723"/>
        <v>1.5370000000000001</v>
      </c>
      <c r="HG193" s="2131">
        <f t="shared" si="723"/>
        <v>0</v>
      </c>
      <c r="HH193" s="2131">
        <f t="shared" si="723"/>
        <v>0</v>
      </c>
      <c r="HJ193" s="2274">
        <f>HF193</f>
        <v>1.5370000000000001</v>
      </c>
      <c r="HK193" s="2274">
        <f>HB193</f>
        <v>1.4060000000000001</v>
      </c>
      <c r="HL193" s="2274">
        <f>SUM(HE193:HF193)</f>
        <v>2.64</v>
      </c>
      <c r="HM193" s="2274">
        <f>SUM(HA193:HB193)</f>
        <v>2.9990000000000001</v>
      </c>
      <c r="HN193" s="2109">
        <f>SUM(HC193:HF193)</f>
        <v>4.226</v>
      </c>
      <c r="HO193" s="2274">
        <f>SUM(HA193:HD193)</f>
        <v>4.585</v>
      </c>
      <c r="HP193" s="2007"/>
    </row>
    <row r="194" spans="1:276" s="443" customFormat="1" ht="10.5" customHeight="1" x14ac:dyDescent="0.2">
      <c r="A194" s="242"/>
      <c r="B194" s="242"/>
      <c r="C194" s="242"/>
      <c r="D194" s="242"/>
      <c r="E194" s="243"/>
      <c r="F194" s="242"/>
      <c r="G194" s="242"/>
      <c r="H194" s="242"/>
      <c r="I194" s="242"/>
      <c r="J194" s="242"/>
      <c r="K194" s="242"/>
      <c r="L194" s="242"/>
      <c r="M194" s="242"/>
      <c r="N194" s="242"/>
      <c r="O194" s="242"/>
      <c r="P194" s="242"/>
      <c r="Q194" s="242"/>
      <c r="R194" s="242"/>
      <c r="S194" s="242"/>
      <c r="T194" s="244"/>
      <c r="U194" s="244"/>
      <c r="V194" s="244"/>
      <c r="W194" s="244"/>
      <c r="X194" s="244"/>
      <c r="Y194" s="244"/>
      <c r="Z194" s="244"/>
      <c r="AA194" s="244"/>
      <c r="AB194" s="244"/>
      <c r="AC194" s="244"/>
      <c r="AD194" s="244"/>
      <c r="AE194" s="244"/>
      <c r="AF194" s="242"/>
      <c r="AG194" s="242"/>
      <c r="AH194" s="242"/>
      <c r="AI194" s="242"/>
      <c r="AJ194" s="242"/>
      <c r="AK194" s="242"/>
      <c r="AL194" s="242"/>
      <c r="AM194" s="242"/>
      <c r="AN194" s="242"/>
      <c r="AO194" s="242"/>
      <c r="AP194" s="242"/>
      <c r="AQ194" s="242"/>
      <c r="AR194" s="242"/>
      <c r="AS194" s="242"/>
      <c r="AT194" s="242"/>
      <c r="AU194" s="242"/>
      <c r="AV194" s="242"/>
      <c r="AW194" s="242"/>
      <c r="AX194" s="242"/>
      <c r="AY194" s="242"/>
      <c r="AZ194" s="242"/>
      <c r="BA194" s="242"/>
      <c r="BB194" s="242"/>
      <c r="BC194" s="242"/>
      <c r="BD194" s="242"/>
      <c r="BE194" s="242"/>
      <c r="BF194" s="242"/>
      <c r="BG194" s="242"/>
      <c r="BH194" s="242"/>
      <c r="BI194" s="242"/>
      <c r="BJ194" s="242"/>
      <c r="BK194" s="242"/>
      <c r="BL194" s="242"/>
      <c r="BM194" s="242"/>
      <c r="BN194" s="242"/>
      <c r="BO194" s="242"/>
      <c r="BP194" s="242"/>
      <c r="BQ194" s="244"/>
      <c r="BR194" s="242"/>
      <c r="BS194" s="242"/>
      <c r="BT194" s="242"/>
      <c r="BU194" s="242"/>
      <c r="BV194" s="242"/>
      <c r="BW194" s="242"/>
      <c r="BX194" s="242"/>
      <c r="BY194" s="242"/>
      <c r="BZ194" s="242"/>
      <c r="CA194" s="242"/>
      <c r="CB194" s="242"/>
      <c r="CC194" s="242"/>
      <c r="CD194" s="242"/>
      <c r="CE194" s="244"/>
      <c r="CF194" s="244"/>
      <c r="CG194" s="244"/>
      <c r="CH194" s="244"/>
      <c r="CI194" s="244"/>
      <c r="CJ194" s="242"/>
      <c r="CK194" s="244"/>
      <c r="CL194" s="244"/>
      <c r="CM194" s="244"/>
      <c r="CN194" s="244"/>
      <c r="CO194" s="244"/>
      <c r="CP194" s="244"/>
      <c r="CQ194" s="244"/>
      <c r="CR194" s="244"/>
      <c r="CS194" s="244"/>
      <c r="CT194" s="244"/>
      <c r="CU194" s="244"/>
      <c r="CV194" s="244"/>
      <c r="CW194" s="244"/>
      <c r="CX194" s="244"/>
      <c r="CY194" s="244"/>
      <c r="CZ194" s="244"/>
      <c r="DA194" s="244"/>
      <c r="DB194" s="244"/>
      <c r="DC194" s="244"/>
      <c r="DD194" s="244"/>
      <c r="DE194" s="244"/>
      <c r="DF194" s="244"/>
      <c r="DG194" s="244"/>
      <c r="DH194" s="244"/>
      <c r="DI194" s="244"/>
      <c r="DJ194" s="242"/>
      <c r="DK194" s="242"/>
      <c r="DL194" s="242"/>
      <c r="DM194" s="242"/>
      <c r="DN194" s="242"/>
      <c r="DO194" s="242"/>
      <c r="DP194" s="242"/>
      <c r="DQ194" s="242"/>
      <c r="DR194" s="242"/>
      <c r="DS194" s="242"/>
      <c r="DT194" s="242"/>
      <c r="DU194" s="242"/>
      <c r="DV194" s="242"/>
      <c r="DW194" s="242"/>
      <c r="DX194" s="242"/>
      <c r="DY194" s="242"/>
      <c r="DZ194" s="242"/>
      <c r="EA194" s="242"/>
      <c r="EB194" s="242"/>
      <c r="EC194" s="242"/>
      <c r="ED194" s="242"/>
      <c r="EE194" s="242"/>
      <c r="EF194" s="242"/>
      <c r="EG194" s="242"/>
      <c r="EH194" s="242"/>
      <c r="EI194" s="242"/>
      <c r="EJ194" s="242"/>
      <c r="EK194" s="242"/>
      <c r="EL194" s="242"/>
      <c r="EM194" s="242"/>
      <c r="EN194" s="242"/>
      <c r="EO194" s="242"/>
      <c r="EP194" s="242"/>
      <c r="EQ194" s="242"/>
      <c r="ER194" s="242"/>
      <c r="ES194" s="242"/>
      <c r="ET194" s="242"/>
      <c r="EU194" s="242"/>
      <c r="EV194" s="242"/>
      <c r="EW194" s="242"/>
      <c r="EX194" s="242"/>
      <c r="EY194" s="242"/>
      <c r="EZ194" s="242"/>
      <c r="FA194" s="242"/>
      <c r="FB194" s="242"/>
      <c r="FC194" s="242"/>
      <c r="FD194" s="242"/>
      <c r="FE194" s="242"/>
      <c r="FF194" s="242"/>
      <c r="FG194" s="242"/>
      <c r="FH194" s="242"/>
      <c r="FI194" s="242"/>
      <c r="FJ194" s="242"/>
      <c r="FK194" s="242"/>
      <c r="FL194" s="242"/>
      <c r="FM194" s="242"/>
      <c r="FN194" s="242"/>
      <c r="FO194" s="242"/>
      <c r="FP194" s="242"/>
      <c r="FQ194" s="242"/>
      <c r="FR194" s="242"/>
      <c r="FS194" s="242"/>
      <c r="FT194" s="242"/>
      <c r="FU194" s="242"/>
      <c r="FV194" s="242"/>
      <c r="FW194" s="242"/>
      <c r="FX194" s="242"/>
      <c r="FY194" s="242"/>
      <c r="FZ194" s="242"/>
      <c r="GA194" s="242"/>
      <c r="GB194" s="242"/>
      <c r="GC194" s="242"/>
      <c r="GD194" s="242"/>
      <c r="GE194" s="242"/>
      <c r="GF194" s="242"/>
      <c r="GG194" s="242"/>
      <c r="GH194" s="242"/>
      <c r="GI194" s="242"/>
      <c r="GJ194" s="242"/>
      <c r="GK194" s="242"/>
      <c r="GL194" s="242"/>
      <c r="GM194" s="242"/>
      <c r="GN194" s="242"/>
      <c r="GO194" s="242"/>
      <c r="GP194" s="242"/>
      <c r="GQ194" s="242"/>
      <c r="GR194" s="242"/>
      <c r="GS194" s="242"/>
      <c r="GT194" s="242"/>
      <c r="GU194" s="264"/>
      <c r="GV194" s="242"/>
      <c r="GW194" s="264"/>
      <c r="GX194" s="264"/>
      <c r="GY194" s="264"/>
      <c r="GZ194" s="264"/>
      <c r="HA194" s="264"/>
      <c r="HB194" s="264"/>
      <c r="HC194" s="264"/>
      <c r="HD194" s="264"/>
      <c r="HE194" s="264"/>
      <c r="HF194" s="264"/>
      <c r="HG194" s="264"/>
      <c r="HH194" s="264"/>
      <c r="HI194" s="242"/>
      <c r="HJ194" s="264"/>
      <c r="HK194" s="264"/>
      <c r="HL194" s="264"/>
      <c r="HM194" s="264"/>
      <c r="HN194" s="1342"/>
      <c r="HO194" s="264"/>
      <c r="HP194" s="2007"/>
      <c r="HQ194" s="242"/>
      <c r="HR194" s="242"/>
      <c r="HS194" s="242"/>
      <c r="HT194" s="242"/>
      <c r="HU194" s="242"/>
      <c r="HV194" s="242"/>
      <c r="HW194" s="242"/>
      <c r="HX194" s="242"/>
      <c r="HY194" s="242"/>
      <c r="HZ194" s="891"/>
      <c r="IA194" s="242"/>
      <c r="IB194" s="244"/>
      <c r="IC194" s="244"/>
      <c r="ID194" s="244"/>
      <c r="IE194" s="244"/>
      <c r="IF194" s="244"/>
      <c r="IG194" s="244"/>
      <c r="IH194" s="242"/>
      <c r="II194" s="242"/>
      <c r="JG194" s="447"/>
      <c r="JH194" s="447"/>
      <c r="JI194" s="447"/>
      <c r="JN194" s="447"/>
      <c r="JO194" s="447"/>
      <c r="JP194" s="447"/>
    </row>
    <row r="195" spans="1:276" x14ac:dyDescent="0.2">
      <c r="A195" s="443"/>
      <c r="GU195" s="264" t="s">
        <v>789</v>
      </c>
      <c r="GV195" s="396"/>
      <c r="GW195" s="2304">
        <f t="shared" ref="GW195:HH195" si="724">CK31</f>
        <v>8.9741850000000127</v>
      </c>
      <c r="GX195" s="2304">
        <f t="shared" si="724"/>
        <v>23.583785000000042</v>
      </c>
      <c r="GY195" s="2304">
        <f t="shared" si="724"/>
        <v>0.39898499999985715</v>
      </c>
      <c r="GZ195" s="2304">
        <f t="shared" si="724"/>
        <v>-1.5860149999998177</v>
      </c>
      <c r="HA195" s="2304">
        <f t="shared" si="724"/>
        <v>27.214350000000049</v>
      </c>
      <c r="HB195" s="2304">
        <f t="shared" si="724"/>
        <v>8.6347499999998387</v>
      </c>
      <c r="HC195" s="2304">
        <f t="shared" si="724"/>
        <v>1.9651500000000663</v>
      </c>
      <c r="HD195" s="2304">
        <f t="shared" si="724"/>
        <v>-2.6400499999999147</v>
      </c>
      <c r="HE195" s="2304">
        <f t="shared" si="724"/>
        <v>18.182090251999981</v>
      </c>
      <c r="HF195" s="2304">
        <f t="shared" si="724"/>
        <v>49.921047664000092</v>
      </c>
      <c r="HG195" s="2304">
        <f t="shared" si="724"/>
        <v>-11.910000000000037</v>
      </c>
      <c r="HH195" s="2304">
        <f t="shared" si="724"/>
        <v>16.991600000000076</v>
      </c>
      <c r="HJ195" s="2274">
        <f>HF195</f>
        <v>49.921047664000092</v>
      </c>
      <c r="HK195" s="2274">
        <f>HB195</f>
        <v>8.6347499999998387</v>
      </c>
      <c r="HL195" s="2274">
        <f>SUM(HE195:HF195)</f>
        <v>68.103137916000065</v>
      </c>
      <c r="HM195" s="2274">
        <f>SUM(HA195:HB195)</f>
        <v>35.849099999999886</v>
      </c>
      <c r="HN195" s="2109">
        <f>SUM(HC195:HF195)</f>
        <v>67.428237916000228</v>
      </c>
      <c r="HO195" s="2274">
        <f>SUM(HA195:HD195)</f>
        <v>35.174200000000035</v>
      </c>
      <c r="HP195" s="2007"/>
      <c r="IH195" s="443"/>
      <c r="II195" s="443"/>
    </row>
    <row r="196" spans="1:276" x14ac:dyDescent="0.2">
      <c r="GU196" s="1145" t="s">
        <v>790</v>
      </c>
      <c r="GV196" s="396"/>
      <c r="GW196" s="1276">
        <f t="shared" ref="GW196:HH197" si="725">CK34</f>
        <v>0</v>
      </c>
      <c r="GX196" s="1276">
        <f t="shared" si="725"/>
        <v>0</v>
      </c>
      <c r="GY196" s="1276">
        <f t="shared" si="725"/>
        <v>0</v>
      </c>
      <c r="GZ196" s="1276">
        <f t="shared" si="725"/>
        <v>0</v>
      </c>
      <c r="HA196" s="1276">
        <f t="shared" si="725"/>
        <v>-2.754</v>
      </c>
      <c r="HB196" s="1276">
        <f t="shared" si="725"/>
        <v>-7.5329999999999995</v>
      </c>
      <c r="HC196" s="1276">
        <f t="shared" si="725"/>
        <v>-6.3990000000000018</v>
      </c>
      <c r="HD196" s="1276">
        <f t="shared" si="725"/>
        <v>-15.713999999999999</v>
      </c>
      <c r="HE196" s="1276">
        <f t="shared" si="725"/>
        <v>-2.835</v>
      </c>
      <c r="HF196" s="1276">
        <f t="shared" si="725"/>
        <v>-0.64799999999999991</v>
      </c>
      <c r="HG196" s="1276">
        <f t="shared" si="725"/>
        <v>-13.203000000000001</v>
      </c>
      <c r="HH196" s="1276">
        <f t="shared" si="725"/>
        <v>-15.713999999999999</v>
      </c>
      <c r="HJ196" s="2294">
        <f>HF196</f>
        <v>-0.64799999999999991</v>
      </c>
      <c r="HK196" s="2294">
        <f>HB196</f>
        <v>-7.5329999999999995</v>
      </c>
      <c r="HL196" s="2294">
        <f>SUM(HE196:HF196)</f>
        <v>-3.4829999999999997</v>
      </c>
      <c r="HM196" s="2294">
        <f>SUM(HA196:HB196)</f>
        <v>-10.286999999999999</v>
      </c>
      <c r="HN196" s="2110">
        <f>SUM(HC196:HF196)</f>
        <v>-25.596</v>
      </c>
      <c r="HO196" s="2294">
        <f>SUM(HA196:HD196)</f>
        <v>-32.4</v>
      </c>
      <c r="HP196" s="2007"/>
    </row>
    <row r="197" spans="1:276" x14ac:dyDescent="0.2">
      <c r="B197" s="443"/>
      <c r="C197" s="443"/>
      <c r="GU197" s="1146" t="s">
        <v>791</v>
      </c>
      <c r="GV197" s="396"/>
      <c r="GW197" s="1284">
        <f t="shared" si="725"/>
        <v>8.9741850000000127</v>
      </c>
      <c r="GX197" s="1284">
        <f t="shared" si="725"/>
        <v>23.583785000000042</v>
      </c>
      <c r="GY197" s="1284">
        <f t="shared" si="725"/>
        <v>0.39898499999985715</v>
      </c>
      <c r="GZ197" s="1284">
        <f t="shared" si="725"/>
        <v>-1.5860149999998177</v>
      </c>
      <c r="HA197" s="1284">
        <f t="shared" si="725"/>
        <v>24.460350000000048</v>
      </c>
      <c r="HB197" s="1284">
        <f t="shared" si="725"/>
        <v>1.1017499999998392</v>
      </c>
      <c r="HC197" s="1284">
        <f t="shared" si="725"/>
        <v>-4.4338499999999357</v>
      </c>
      <c r="HD197" s="1284">
        <f t="shared" si="725"/>
        <v>-18.354049999999912</v>
      </c>
      <c r="HE197" s="1284">
        <f t="shared" si="725"/>
        <v>15.34709025199998</v>
      </c>
      <c r="HF197" s="1284">
        <f t="shared" si="725"/>
        <v>49.273047664000089</v>
      </c>
      <c r="HG197" s="1284">
        <f t="shared" si="725"/>
        <v>-25.113000000000039</v>
      </c>
      <c r="HH197" s="1284">
        <f t="shared" si="725"/>
        <v>1.2776000000000778</v>
      </c>
      <c r="HJ197" s="2274">
        <f>HF197</f>
        <v>49.273047664000089</v>
      </c>
      <c r="HK197" s="2274">
        <f>HB197</f>
        <v>1.1017499999998392</v>
      </c>
      <c r="HL197" s="2274">
        <f>SUM(HE197:HF197)</f>
        <v>64.620137916000061</v>
      </c>
      <c r="HM197" s="2274">
        <f>SUM(HA197:HB197)</f>
        <v>25.562099999999887</v>
      </c>
      <c r="HN197" s="2109">
        <f>SUM(HC197:HF197)</f>
        <v>41.832237916000224</v>
      </c>
      <c r="HO197" s="2274">
        <f>SUM(HA197:HD197)</f>
        <v>2.7742000000000395</v>
      </c>
      <c r="HP197" s="2007"/>
    </row>
    <row r="198" spans="1:276" x14ac:dyDescent="0.2">
      <c r="FN198" s="443"/>
      <c r="FO198" s="443"/>
      <c r="FP198" s="443"/>
      <c r="FQ198" s="443"/>
      <c r="FR198" s="443"/>
      <c r="FS198" s="443"/>
      <c r="FT198" s="443"/>
      <c r="FU198" s="443"/>
      <c r="FV198" s="443"/>
      <c r="FW198" s="443"/>
      <c r="FX198" s="443"/>
      <c r="FY198" s="443"/>
      <c r="FZ198" s="443"/>
      <c r="GA198" s="443"/>
      <c r="GB198" s="443"/>
      <c r="GC198" s="443"/>
      <c r="GD198" s="443"/>
      <c r="GE198" s="443"/>
      <c r="GF198" s="443"/>
      <c r="GG198" s="443"/>
      <c r="GH198" s="443"/>
      <c r="GI198" s="443"/>
      <c r="GJ198" s="443"/>
      <c r="GU198" s="264"/>
      <c r="GW198" s="439"/>
      <c r="GX198" s="439"/>
      <c r="GY198" s="439"/>
      <c r="GZ198" s="439"/>
      <c r="HA198" s="439"/>
      <c r="HB198" s="439"/>
      <c r="HC198" s="439"/>
      <c r="HD198" s="439"/>
      <c r="HE198" s="439"/>
      <c r="HF198" s="439"/>
      <c r="HG198" s="439"/>
      <c r="HH198" s="439"/>
      <c r="HJ198" s="264"/>
      <c r="HK198" s="264"/>
      <c r="HL198" s="264"/>
      <c r="HM198" s="264"/>
      <c r="HN198" s="1342"/>
      <c r="HO198" s="264"/>
      <c r="HP198" s="2009"/>
    </row>
    <row r="199" spans="1:276" x14ac:dyDescent="0.2">
      <c r="BD199" s="443"/>
      <c r="EX199" s="443"/>
      <c r="EY199" s="443"/>
      <c r="EZ199" s="443"/>
      <c r="FA199" s="443"/>
      <c r="FB199" s="443"/>
      <c r="FC199" s="443"/>
      <c r="FD199" s="443"/>
      <c r="FE199" s="443"/>
      <c r="FF199" s="443"/>
      <c r="FG199" s="443"/>
      <c r="FH199" s="443"/>
      <c r="FI199" s="443"/>
      <c r="FJ199" s="443"/>
      <c r="FK199" s="443"/>
      <c r="FL199" s="443"/>
      <c r="GU199" s="264" t="str">
        <f>GU23</f>
        <v>Genomsnittligt antal aktier, tusental (Ingen utspädning finns)</v>
      </c>
      <c r="GV199" s="396"/>
      <c r="GW199" s="1224">
        <f t="shared" ref="GW199:HH199" si="726">GW$23</f>
        <v>7399</v>
      </c>
      <c r="GX199" s="1224">
        <f t="shared" si="726"/>
        <v>7399</v>
      </c>
      <c r="GY199" s="1224">
        <f t="shared" si="726"/>
        <v>7399</v>
      </c>
      <c r="GZ199" s="1224">
        <f t="shared" si="726"/>
        <v>7399</v>
      </c>
      <c r="HA199" s="1224">
        <f t="shared" si="726"/>
        <v>7399</v>
      </c>
      <c r="HB199" s="1224">
        <f t="shared" si="726"/>
        <v>7399</v>
      </c>
      <c r="HC199" s="1224">
        <f t="shared" si="726"/>
        <v>7399</v>
      </c>
      <c r="HD199" s="1224">
        <f t="shared" si="726"/>
        <v>7399</v>
      </c>
      <c r="HE199" s="1224">
        <f t="shared" si="726"/>
        <v>7399</v>
      </c>
      <c r="HF199" s="1224">
        <f t="shared" si="726"/>
        <v>7399</v>
      </c>
      <c r="HG199" s="1224">
        <f t="shared" si="726"/>
        <v>7399</v>
      </c>
      <c r="HH199" s="1224">
        <f t="shared" si="726"/>
        <v>7399</v>
      </c>
      <c r="HJ199" s="1224">
        <f t="shared" ref="HJ199:HO199" si="727">HJ$23</f>
        <v>7399</v>
      </c>
      <c r="HK199" s="1224">
        <f t="shared" si="727"/>
        <v>7399</v>
      </c>
      <c r="HL199" s="1224">
        <f t="shared" si="727"/>
        <v>7399</v>
      </c>
      <c r="HM199" s="1224">
        <f t="shared" si="727"/>
        <v>7399</v>
      </c>
      <c r="HN199" s="2111">
        <f t="shared" si="727"/>
        <v>7399</v>
      </c>
      <c r="HO199" s="1224">
        <f t="shared" si="727"/>
        <v>7399</v>
      </c>
      <c r="HP199" s="2009"/>
      <c r="HR199" s="443"/>
    </row>
    <row r="200" spans="1:276" x14ac:dyDescent="0.2">
      <c r="AV200" s="443"/>
      <c r="AW200" s="443"/>
      <c r="AX200" s="443"/>
      <c r="AY200" s="443"/>
      <c r="AZ200" s="443"/>
      <c r="BA200" s="443"/>
      <c r="BB200" s="443"/>
      <c r="BC200" s="443"/>
      <c r="CI200" s="443"/>
      <c r="CJ200" s="443"/>
      <c r="CK200" s="446"/>
      <c r="CL200" s="446"/>
      <c r="CM200" s="446"/>
      <c r="CN200" s="446"/>
      <c r="CO200" s="446"/>
      <c r="CP200" s="446"/>
      <c r="CQ200" s="446"/>
      <c r="CR200" s="446"/>
      <c r="CS200" s="446"/>
      <c r="CT200" s="446"/>
      <c r="FM200" s="443"/>
      <c r="GU200" s="264"/>
      <c r="GV200" s="396"/>
      <c r="GW200" s="1224"/>
      <c r="GX200" s="1224"/>
      <c r="GY200" s="1224"/>
      <c r="GZ200" s="1224"/>
      <c r="HA200" s="1224"/>
      <c r="HB200" s="1224"/>
      <c r="HC200" s="1224"/>
      <c r="HD200" s="1224"/>
      <c r="HE200" s="1224"/>
      <c r="HF200" s="1224"/>
      <c r="HG200" s="1224"/>
      <c r="HH200" s="1224"/>
      <c r="HJ200" s="1224"/>
      <c r="HK200" s="1224"/>
      <c r="HL200" s="1224"/>
      <c r="HM200" s="1224"/>
      <c r="HN200" s="2111"/>
      <c r="HO200" s="1224"/>
      <c r="HP200" s="2009"/>
    </row>
    <row r="201" spans="1:276" x14ac:dyDescent="0.2">
      <c r="D201" s="443"/>
      <c r="BE201" s="443"/>
      <c r="BF201" s="443"/>
      <c r="BG201" s="443"/>
      <c r="BH201" s="443"/>
      <c r="BI201" s="443"/>
      <c r="BJ201" s="443"/>
      <c r="BK201" s="443"/>
      <c r="BL201" s="443"/>
      <c r="BM201" s="443"/>
      <c r="BN201" s="443"/>
      <c r="BO201" s="443"/>
      <c r="BP201" s="443"/>
      <c r="BQ201" s="446"/>
      <c r="BR201" s="443"/>
      <c r="BS201" s="443"/>
      <c r="BT201" s="443"/>
      <c r="BU201" s="443"/>
      <c r="BV201" s="443"/>
      <c r="BW201" s="443"/>
      <c r="BX201" s="443"/>
      <c r="BY201" s="443"/>
      <c r="BZ201" s="443"/>
      <c r="CA201" s="443"/>
      <c r="CB201" s="443"/>
      <c r="CC201" s="443"/>
      <c r="CD201" s="443"/>
      <c r="GU201" s="264" t="s">
        <v>794</v>
      </c>
      <c r="GV201" s="396"/>
      <c r="GW201" s="1140">
        <f t="shared" ref="GW201:HH201" si="728">((GW195-GW193)*1000)/GW199</f>
        <v>0.93217799702662696</v>
      </c>
      <c r="GX201" s="1140">
        <f t="shared" si="728"/>
        <v>2.8918482227328073</v>
      </c>
      <c r="GY201" s="1140">
        <f t="shared" si="728"/>
        <v>-0.23354710095960843</v>
      </c>
      <c r="GZ201" s="1140">
        <f t="shared" si="728"/>
        <v>-0.21489593188266215</v>
      </c>
      <c r="HA201" s="1140">
        <f t="shared" si="728"/>
        <v>3.4628125422354441</v>
      </c>
      <c r="HB201" s="1140">
        <f t="shared" si="728"/>
        <v>0.97699013380184319</v>
      </c>
      <c r="HC201" s="1140">
        <f t="shared" si="728"/>
        <v>0.15166238680903724</v>
      </c>
      <c r="HD201" s="1140">
        <f t="shared" si="728"/>
        <v>-0.4572307068522658</v>
      </c>
      <c r="HE201" s="1140">
        <f t="shared" si="728"/>
        <v>2.3082971012298934</v>
      </c>
      <c r="HF201" s="1140">
        <f t="shared" si="728"/>
        <v>6.5392685043924983</v>
      </c>
      <c r="HG201" s="1140">
        <f t="shared" si="728"/>
        <v>-1.6096769833761371</v>
      </c>
      <c r="HH201" s="1140">
        <f t="shared" si="728"/>
        <v>2.2964724962832919</v>
      </c>
      <c r="HJ201" s="1140">
        <f>((HJ195-HJ193)*1000)/HJ199</f>
        <v>6.5392685043924983</v>
      </c>
      <c r="HK201" s="1140">
        <f>((HK195-HK193)*1000)/HK199</f>
        <v>0.97699013380184319</v>
      </c>
      <c r="HL201" s="1140">
        <f t="shared" ref="HL201:HO201" si="729">((HL195-HL193)*1000)/HL199</f>
        <v>8.8475656056223908</v>
      </c>
      <c r="HM201" s="1140">
        <f t="shared" si="729"/>
        <v>4.4398026760372868</v>
      </c>
      <c r="HN201" s="2112">
        <f t="shared" si="729"/>
        <v>8.5419972855791642</v>
      </c>
      <c r="HO201" s="1140">
        <f t="shared" si="729"/>
        <v>4.1342343559940575</v>
      </c>
      <c r="HP201" s="2000" t="s">
        <v>793</v>
      </c>
    </row>
    <row r="202" spans="1:276" x14ac:dyDescent="0.2">
      <c r="CE202" s="443"/>
      <c r="CF202" s="443"/>
      <c r="CG202" s="443"/>
      <c r="CH202" s="443"/>
      <c r="CU202" s="446"/>
      <c r="CV202" s="446"/>
      <c r="CW202" s="446"/>
      <c r="CX202" s="446"/>
      <c r="CY202" s="446"/>
      <c r="CZ202" s="446"/>
      <c r="DA202" s="446"/>
      <c r="DB202" s="446"/>
      <c r="DC202" s="446"/>
      <c r="DD202" s="446"/>
      <c r="DE202" s="446"/>
      <c r="DF202" s="446"/>
      <c r="DG202" s="446"/>
      <c r="DH202" s="446"/>
      <c r="DI202" s="446"/>
      <c r="DJ202" s="443"/>
      <c r="DK202" s="443"/>
      <c r="DL202" s="443"/>
      <c r="DM202" s="443"/>
      <c r="DN202" s="443"/>
      <c r="DO202" s="443"/>
      <c r="DP202" s="443"/>
      <c r="DQ202" s="443"/>
      <c r="DR202" s="443"/>
      <c r="DS202" s="443"/>
      <c r="DT202" s="443"/>
      <c r="DU202" s="443"/>
      <c r="DV202" s="443"/>
      <c r="DW202" s="443"/>
      <c r="DX202" s="443"/>
      <c r="DY202" s="443"/>
      <c r="DZ202" s="443"/>
      <c r="EA202" s="443"/>
      <c r="EB202" s="443"/>
      <c r="EC202" s="443"/>
      <c r="ED202" s="443"/>
      <c r="EE202" s="443"/>
      <c r="EF202" s="443"/>
      <c r="EG202" s="443"/>
      <c r="EH202" s="443"/>
      <c r="EI202" s="443"/>
      <c r="EJ202" s="443"/>
      <c r="EK202" s="443"/>
      <c r="EL202" s="443"/>
      <c r="EM202" s="443"/>
      <c r="EN202" s="443"/>
      <c r="EO202" s="443"/>
      <c r="EP202" s="443"/>
      <c r="EQ202" s="443"/>
      <c r="ER202" s="443"/>
      <c r="ES202" s="443"/>
      <c r="ET202" s="443"/>
      <c r="EU202" s="443"/>
      <c r="GU202" s="1145" t="s">
        <v>795</v>
      </c>
      <c r="GV202" s="396"/>
      <c r="GW202" s="1142">
        <f t="shared" ref="GW202:HH202" si="730">(GW196*1000)/GW199</f>
        <v>0</v>
      </c>
      <c r="GX202" s="1142">
        <f t="shared" si="730"/>
        <v>0</v>
      </c>
      <c r="GY202" s="1142">
        <f t="shared" si="730"/>
        <v>0</v>
      </c>
      <c r="GZ202" s="1142">
        <f t="shared" si="730"/>
        <v>0</v>
      </c>
      <c r="HA202" s="1142">
        <f t="shared" si="730"/>
        <v>-0.37221246114339773</v>
      </c>
      <c r="HB202" s="1142">
        <f t="shared" si="730"/>
        <v>-1.0181105554804701</v>
      </c>
      <c r="HC202" s="1142">
        <f t="shared" si="730"/>
        <v>-0.86484660089201271</v>
      </c>
      <c r="HD202" s="1142">
        <f t="shared" si="730"/>
        <v>-2.1238005135829163</v>
      </c>
      <c r="HE202" s="1142">
        <f t="shared" si="730"/>
        <v>-0.38315988647114474</v>
      </c>
      <c r="HF202" s="1142">
        <f t="shared" si="730"/>
        <v>-8.757940262197593E-2</v>
      </c>
      <c r="HG202" s="1142">
        <f t="shared" si="730"/>
        <v>-1.7844303284227601</v>
      </c>
      <c r="HH202" s="1142">
        <f t="shared" si="730"/>
        <v>-2.1238005135829163</v>
      </c>
      <c r="HJ202" s="1142">
        <f>(HJ196*1000)/HJ199</f>
        <v>-8.757940262197593E-2</v>
      </c>
      <c r="HK202" s="1142">
        <f t="shared" ref="HK202:HO202" si="731">(HK196*1000)/HK199</f>
        <v>-1.0181105554804701</v>
      </c>
      <c r="HL202" s="1142">
        <f t="shared" si="731"/>
        <v>-0.47073928909312063</v>
      </c>
      <c r="HM202" s="1142">
        <f t="shared" si="731"/>
        <v>-1.3903230166238678</v>
      </c>
      <c r="HN202" s="2113">
        <f t="shared" si="731"/>
        <v>-3.4593864035680499</v>
      </c>
      <c r="HO202" s="1142">
        <f t="shared" si="731"/>
        <v>-4.3789701310987974</v>
      </c>
      <c r="HP202" s="2000"/>
    </row>
    <row r="203" spans="1:276" x14ac:dyDescent="0.2">
      <c r="EV203" s="443"/>
      <c r="GU203" s="1146" t="s">
        <v>796</v>
      </c>
      <c r="GV203" s="401"/>
      <c r="GW203" s="1143">
        <f t="shared" ref="GW203:HH203" si="732">((GW197-GW193)*1000)/GW199</f>
        <v>0.93217799702662696</v>
      </c>
      <c r="GX203" s="1143">
        <f t="shared" si="732"/>
        <v>2.8918482227328073</v>
      </c>
      <c r="GY203" s="1143">
        <f t="shared" si="732"/>
        <v>-0.23354710095960843</v>
      </c>
      <c r="GZ203" s="1143">
        <f t="shared" si="732"/>
        <v>-0.21489593188266215</v>
      </c>
      <c r="HA203" s="1143">
        <f t="shared" si="732"/>
        <v>3.0906000810920462</v>
      </c>
      <c r="HB203" s="1143">
        <f t="shared" si="732"/>
        <v>-4.1120421678626957E-2</v>
      </c>
      <c r="HC203" s="1143">
        <f t="shared" si="732"/>
        <v>-0.7131842140829755</v>
      </c>
      <c r="HD203" s="1143">
        <f t="shared" si="732"/>
        <v>-2.581031220435182</v>
      </c>
      <c r="HE203" s="1143">
        <f t="shared" si="732"/>
        <v>1.9251372147587484</v>
      </c>
      <c r="HF203" s="1143">
        <f t="shared" si="732"/>
        <v>6.4516891017705218</v>
      </c>
      <c r="HG203" s="1143">
        <f t="shared" si="732"/>
        <v>-3.3941073117988974</v>
      </c>
      <c r="HH203" s="1143">
        <f t="shared" si="732"/>
        <v>0.1726719827003754</v>
      </c>
      <c r="HJ203" s="1143">
        <f>((HJ197-HJ193)*1000)/HJ199</f>
        <v>6.4516891017705218</v>
      </c>
      <c r="HK203" s="1143">
        <f t="shared" ref="HK203:HO203" si="733">((HK197-HK193)*1000)/HK199</f>
        <v>-4.1120421678626957E-2</v>
      </c>
      <c r="HL203" s="1143">
        <f t="shared" si="733"/>
        <v>8.376826316529268</v>
      </c>
      <c r="HM203" s="1143">
        <f t="shared" si="733"/>
        <v>3.0494796594134193</v>
      </c>
      <c r="HN203" s="1580">
        <f t="shared" si="733"/>
        <v>5.0826108820111129</v>
      </c>
      <c r="HO203" s="1143">
        <f t="shared" si="733"/>
        <v>-0.24473577510473854</v>
      </c>
      <c r="HP203" s="2000" t="s">
        <v>793</v>
      </c>
      <c r="HQ203" s="443"/>
    </row>
    <row r="204" spans="1:276" x14ac:dyDescent="0.2">
      <c r="E204" s="443"/>
      <c r="F204" s="443"/>
      <c r="G204" s="443"/>
      <c r="H204" s="443"/>
      <c r="I204" s="443"/>
      <c r="J204" s="443"/>
      <c r="K204" s="443"/>
      <c r="L204" s="443"/>
      <c r="M204" s="443"/>
      <c r="N204" s="443"/>
      <c r="O204" s="443"/>
      <c r="P204" s="443"/>
      <c r="Q204" s="443"/>
      <c r="R204" s="443"/>
      <c r="S204" s="443"/>
      <c r="T204" s="446"/>
      <c r="U204" s="446"/>
      <c r="V204" s="446"/>
      <c r="W204" s="446"/>
      <c r="X204" s="446"/>
      <c r="Y204" s="446"/>
      <c r="Z204" s="446"/>
      <c r="AA204" s="446"/>
      <c r="AB204" s="446"/>
      <c r="AC204" s="446"/>
      <c r="AD204" s="446"/>
      <c r="AE204" s="446"/>
      <c r="AF204" s="443"/>
      <c r="AG204" s="443"/>
      <c r="AH204" s="443"/>
      <c r="AI204" s="443"/>
      <c r="AJ204" s="443"/>
      <c r="AK204" s="443"/>
      <c r="AL204" s="443"/>
      <c r="AM204" s="443"/>
      <c r="AN204" s="443"/>
      <c r="AO204" s="443"/>
      <c r="AP204" s="443"/>
      <c r="AQ204" s="443"/>
      <c r="AR204" s="443"/>
      <c r="AS204" s="443"/>
      <c r="AT204" s="443"/>
      <c r="AU204" s="443"/>
      <c r="EW204" s="443"/>
      <c r="HP204" s="2009"/>
    </row>
    <row r="205" spans="1:276" x14ac:dyDescent="0.2">
      <c r="GK205" s="443"/>
      <c r="GL205" s="443"/>
      <c r="GM205" s="443"/>
      <c r="GN205" s="443"/>
      <c r="GO205" s="443"/>
      <c r="GP205" s="443"/>
      <c r="GQ205" s="443"/>
      <c r="GR205" s="443"/>
      <c r="GV205" s="396"/>
      <c r="HJ205" s="2114">
        <f t="shared" ref="HJ205:HO205" si="734">HJ193-HJ286</f>
        <v>3.7000000000000144E-2</v>
      </c>
      <c r="HK205" s="2114">
        <f t="shared" si="734"/>
        <v>6.0000000000002274E-3</v>
      </c>
      <c r="HL205" s="2114">
        <f t="shared" si="734"/>
        <v>4.0000000000000036E-2</v>
      </c>
      <c r="HM205" s="2114">
        <f t="shared" si="734"/>
        <v>-9.9999999999988987E-4</v>
      </c>
      <c r="HN205" s="2114">
        <f t="shared" si="734"/>
        <v>2.6000000000000689E-2</v>
      </c>
      <c r="HO205" s="2114">
        <f t="shared" si="734"/>
        <v>-1.499999999999968E-2</v>
      </c>
      <c r="HP205" s="2000"/>
    </row>
    <row r="206" spans="1:276" ht="15.75" x14ac:dyDescent="0.25">
      <c r="GU206" s="429" t="s">
        <v>752</v>
      </c>
      <c r="GV206" s="396"/>
      <c r="HJ206" s="396"/>
      <c r="HK206" s="396"/>
      <c r="HL206" s="396"/>
      <c r="HM206" s="396"/>
      <c r="HN206" s="396"/>
      <c r="HO206" s="396"/>
      <c r="HP206" s="2002"/>
    </row>
    <row r="207" spans="1:276" x14ac:dyDescent="0.2">
      <c r="GS207" s="363"/>
      <c r="GV207" s="396"/>
      <c r="HP207" s="2000"/>
    </row>
    <row r="208" spans="1:276" x14ac:dyDescent="0.2">
      <c r="GS208" s="363"/>
      <c r="GU208" s="256"/>
      <c r="GV208" s="396"/>
      <c r="GW208" s="214">
        <f t="shared" ref="GW208:HH208" si="735">GW$28</f>
        <v>2403</v>
      </c>
      <c r="GX208" s="214">
        <f t="shared" si="735"/>
        <v>2406</v>
      </c>
      <c r="GY208" s="214">
        <f t="shared" si="735"/>
        <v>2409</v>
      </c>
      <c r="GZ208" s="214">
        <f t="shared" si="735"/>
        <v>2412</v>
      </c>
      <c r="HA208" s="214">
        <f t="shared" si="735"/>
        <v>2503</v>
      </c>
      <c r="HB208" s="214">
        <f t="shared" si="735"/>
        <v>2506</v>
      </c>
      <c r="HC208" s="214">
        <f t="shared" si="735"/>
        <v>2509</v>
      </c>
      <c r="HD208" s="214">
        <f t="shared" si="735"/>
        <v>2512</v>
      </c>
      <c r="HE208" s="214">
        <f t="shared" si="735"/>
        <v>2603</v>
      </c>
      <c r="HF208" s="214">
        <f t="shared" si="735"/>
        <v>2606</v>
      </c>
      <c r="HG208" s="214">
        <f t="shared" si="735"/>
        <v>2609</v>
      </c>
      <c r="HH208" s="214">
        <f t="shared" si="735"/>
        <v>2612</v>
      </c>
      <c r="HJ208" s="214" t="str">
        <f t="shared" ref="HJ208:HO208" si="736">HJ$10</f>
        <v>Kvartal 2</v>
      </c>
      <c r="HK208" s="214" t="str">
        <f t="shared" si="736"/>
        <v>Kvartal 2</v>
      </c>
      <c r="HL208" s="214" t="str">
        <f t="shared" si="736"/>
        <v>Kvartal 1-2</v>
      </c>
      <c r="HM208" s="214" t="str">
        <f t="shared" si="736"/>
        <v>Kvartal 1-2</v>
      </c>
      <c r="HN208" s="214" t="str">
        <f t="shared" si="736"/>
        <v>Kvartal 2, R12</v>
      </c>
      <c r="HO208" s="214" t="str">
        <f t="shared" si="736"/>
        <v>Helår</v>
      </c>
      <c r="HP208" s="2007"/>
    </row>
    <row r="209" spans="201:224" x14ac:dyDescent="0.2">
      <c r="GS209" s="363"/>
      <c r="GU209" s="1581"/>
      <c r="GV209" s="396"/>
      <c r="GW209" s="1124" t="s">
        <v>160</v>
      </c>
      <c r="GX209" s="1124" t="s">
        <v>160</v>
      </c>
      <c r="GY209" s="1124" t="s">
        <v>160</v>
      </c>
      <c r="GZ209" s="1124" t="s">
        <v>160</v>
      </c>
      <c r="HA209" s="1124" t="s">
        <v>160</v>
      </c>
      <c r="HB209" s="1124" t="s">
        <v>160</v>
      </c>
      <c r="HC209" s="1124" t="s">
        <v>160</v>
      </c>
      <c r="HD209" s="1124" t="s">
        <v>160</v>
      </c>
      <c r="HE209" s="1124" t="s">
        <v>160</v>
      </c>
      <c r="HF209" s="1124" t="s">
        <v>160</v>
      </c>
      <c r="HG209" s="1124" t="s">
        <v>160</v>
      </c>
      <c r="HH209" s="1124" t="s">
        <v>160</v>
      </c>
      <c r="HJ209" s="1124">
        <f t="shared" ref="HJ209:HO209" si="737">HJ$11</f>
        <v>2026</v>
      </c>
      <c r="HK209" s="1124">
        <f t="shared" si="737"/>
        <v>2025</v>
      </c>
      <c r="HL209" s="1124">
        <f t="shared" si="737"/>
        <v>2026</v>
      </c>
      <c r="HM209" s="1124">
        <f t="shared" si="737"/>
        <v>2025</v>
      </c>
      <c r="HN209" s="1124">
        <f t="shared" si="737"/>
        <v>2026</v>
      </c>
      <c r="HO209" s="1124">
        <f t="shared" si="737"/>
        <v>2025</v>
      </c>
      <c r="HP209" s="2007"/>
    </row>
    <row r="210" spans="201:224" x14ac:dyDescent="0.2">
      <c r="GU210" s="264" t="str">
        <f>GU97</f>
        <v>Räntebärande nettoskuld</v>
      </c>
      <c r="GV210" s="396"/>
      <c r="GW210" s="2273">
        <f t="shared" ref="GW210:HH210" si="738">GW97</f>
        <v>15.299999999999983</v>
      </c>
      <c r="GX210" s="2273">
        <f t="shared" si="738"/>
        <v>-2.7999999999999829</v>
      </c>
      <c r="GY210" s="2273">
        <f t="shared" si="738"/>
        <v>81.200000000000017</v>
      </c>
      <c r="GZ210" s="2273">
        <f t="shared" si="738"/>
        <v>56.599999999999994</v>
      </c>
      <c r="HA210" s="2273">
        <f t="shared" si="738"/>
        <v>66.599999999999994</v>
      </c>
      <c r="HB210" s="2273">
        <f t="shared" si="738"/>
        <v>116</v>
      </c>
      <c r="HC210" s="2273">
        <f t="shared" si="738"/>
        <v>141.89999999999998</v>
      </c>
      <c r="HD210" s="2273">
        <f t="shared" si="738"/>
        <v>173.8</v>
      </c>
      <c r="HE210" s="2273">
        <f t="shared" si="738"/>
        <v>152.69999999999999</v>
      </c>
      <c r="HF210" s="2273">
        <f t="shared" si="738"/>
        <v>104.1</v>
      </c>
      <c r="HG210" s="2273">
        <f t="shared" si="738"/>
        <v>0</v>
      </c>
      <c r="HH210" s="2273">
        <f t="shared" si="738"/>
        <v>0</v>
      </c>
      <c r="HJ210" s="2274">
        <f>HF210</f>
        <v>104.1</v>
      </c>
      <c r="HK210" s="2274">
        <f>HB210</f>
        <v>116</v>
      </c>
      <c r="HL210" s="2274">
        <f>HF210</f>
        <v>104.1</v>
      </c>
      <c r="HM210" s="2274">
        <f>HB210</f>
        <v>116</v>
      </c>
      <c r="HN210" s="2274">
        <f>HF210</f>
        <v>104.1</v>
      </c>
      <c r="HO210" s="2274">
        <f>HD210</f>
        <v>173.8</v>
      </c>
      <c r="HP210" s="2000"/>
    </row>
    <row r="211" spans="201:224" x14ac:dyDescent="0.2">
      <c r="GU211" s="1145" t="str">
        <f>GU259</f>
        <v>Summa eget kapital</v>
      </c>
      <c r="GV211" s="396"/>
      <c r="GW211" s="2275">
        <f>GW259</f>
        <v>641.79999999999995</v>
      </c>
      <c r="GX211" s="2275">
        <f t="shared" ref="GX211:HH211" si="739">GX259</f>
        <v>648.9</v>
      </c>
      <c r="GY211" s="2275">
        <f t="shared" si="739"/>
        <v>665.6</v>
      </c>
      <c r="GZ211" s="2275">
        <f t="shared" si="739"/>
        <v>674.3</v>
      </c>
      <c r="HA211" s="2275">
        <f t="shared" si="739"/>
        <v>722.1</v>
      </c>
      <c r="HB211" s="2275">
        <f t="shared" si="739"/>
        <v>696.9</v>
      </c>
      <c r="HC211" s="2275">
        <f t="shared" si="739"/>
        <v>715.3</v>
      </c>
      <c r="HD211" s="2275">
        <f t="shared" si="739"/>
        <v>714.8</v>
      </c>
      <c r="HE211" s="2275">
        <f t="shared" si="739"/>
        <v>737.3</v>
      </c>
      <c r="HF211" s="2275">
        <f t="shared" si="739"/>
        <v>805.5</v>
      </c>
      <c r="HG211" s="2275">
        <f t="shared" si="739"/>
        <v>0</v>
      </c>
      <c r="HH211" s="2275">
        <f t="shared" si="739"/>
        <v>0</v>
      </c>
      <c r="HJ211" s="2276">
        <f>HF211</f>
        <v>805.5</v>
      </c>
      <c r="HK211" s="2276">
        <f>HB211</f>
        <v>696.9</v>
      </c>
      <c r="HL211" s="2276">
        <f>HF211</f>
        <v>805.5</v>
      </c>
      <c r="HM211" s="2276">
        <f>HB211</f>
        <v>696.9</v>
      </c>
      <c r="HN211" s="2276">
        <f>HF211</f>
        <v>805.5</v>
      </c>
      <c r="HO211" s="2276">
        <f>HD211</f>
        <v>714.8</v>
      </c>
      <c r="HP211" s="2000"/>
    </row>
    <row r="212" spans="201:224" x14ac:dyDescent="0.2">
      <c r="GU212" s="1146" t="s">
        <v>362</v>
      </c>
      <c r="GV212" s="396"/>
      <c r="GW212" s="1578">
        <f>GW210/GW211</f>
        <v>2.3839202243689597E-2</v>
      </c>
      <c r="GX212" s="1578">
        <f t="shared" ref="GX212:HH212" si="740">GX210/GX211</f>
        <v>-4.3149946062567158E-3</v>
      </c>
      <c r="GY212" s="1578">
        <f t="shared" si="740"/>
        <v>0.12199519230769233</v>
      </c>
      <c r="GZ212" s="1578">
        <f t="shared" si="740"/>
        <v>8.3938899599584754E-2</v>
      </c>
      <c r="HA212" s="1578">
        <f t="shared" si="740"/>
        <v>9.223099293726629E-2</v>
      </c>
      <c r="HB212" s="1578">
        <f t="shared" si="740"/>
        <v>0.16645142775147082</v>
      </c>
      <c r="HC212" s="1578">
        <f t="shared" si="740"/>
        <v>0.19837830281000976</v>
      </c>
      <c r="HD212" s="1578">
        <f t="shared" si="740"/>
        <v>0.24314493564633466</v>
      </c>
      <c r="HE212" s="1578">
        <f t="shared" si="740"/>
        <v>0.20710701207107013</v>
      </c>
      <c r="HF212" s="1578">
        <f t="shared" si="740"/>
        <v>0.12923649906890131</v>
      </c>
      <c r="HG212" s="1578" t="e">
        <f t="shared" si="740"/>
        <v>#DIV/0!</v>
      </c>
      <c r="HH212" s="1578" t="e">
        <f t="shared" si="740"/>
        <v>#DIV/0!</v>
      </c>
      <c r="HJ212" s="1578">
        <f t="shared" ref="HJ212:HO212" si="741">HJ210/HJ211</f>
        <v>0.12923649906890131</v>
      </c>
      <c r="HK212" s="1578">
        <f t="shared" si="741"/>
        <v>0.16645142775147082</v>
      </c>
      <c r="HL212" s="1578">
        <f t="shared" si="741"/>
        <v>0.12923649906890131</v>
      </c>
      <c r="HM212" s="1578">
        <f t="shared" si="741"/>
        <v>0.16645142775147082</v>
      </c>
      <c r="HN212" s="1578">
        <f t="shared" si="741"/>
        <v>0.12923649906890131</v>
      </c>
      <c r="HO212" s="1578">
        <f t="shared" si="741"/>
        <v>0.24314493564633466</v>
      </c>
      <c r="HP212" s="2002"/>
    </row>
    <row r="213" spans="201:224" x14ac:dyDescent="0.2">
      <c r="GV213" s="396"/>
      <c r="GW213" s="242"/>
      <c r="GX213" s="242"/>
      <c r="GY213" s="242"/>
      <c r="GZ213" s="242"/>
      <c r="HA213" s="242"/>
      <c r="HB213" s="242"/>
      <c r="HC213" s="242"/>
      <c r="HD213" s="242"/>
      <c r="HE213" s="242"/>
      <c r="HF213" s="242"/>
      <c r="HG213" s="242"/>
      <c r="HH213" s="242"/>
      <c r="HI213" s="443"/>
      <c r="HP213" s="2000"/>
    </row>
    <row r="214" spans="201:224" x14ac:dyDescent="0.2">
      <c r="GU214" s="256"/>
      <c r="GV214" s="396"/>
      <c r="GW214" s="214">
        <f t="shared" ref="GW214:HH214" si="742">GW$28</f>
        <v>2403</v>
      </c>
      <c r="GX214" s="214">
        <f t="shared" si="742"/>
        <v>2406</v>
      </c>
      <c r="GY214" s="214">
        <f t="shared" si="742"/>
        <v>2409</v>
      </c>
      <c r="GZ214" s="214">
        <f t="shared" si="742"/>
        <v>2412</v>
      </c>
      <c r="HA214" s="214">
        <f t="shared" si="742"/>
        <v>2503</v>
      </c>
      <c r="HB214" s="214">
        <f t="shared" si="742"/>
        <v>2506</v>
      </c>
      <c r="HC214" s="214">
        <f t="shared" si="742"/>
        <v>2509</v>
      </c>
      <c r="HD214" s="214">
        <f t="shared" si="742"/>
        <v>2512</v>
      </c>
      <c r="HE214" s="214">
        <f t="shared" si="742"/>
        <v>2603</v>
      </c>
      <c r="HF214" s="214">
        <f t="shared" si="742"/>
        <v>2606</v>
      </c>
      <c r="HG214" s="214">
        <f t="shared" si="742"/>
        <v>2609</v>
      </c>
      <c r="HH214" s="214">
        <f t="shared" si="742"/>
        <v>2612</v>
      </c>
      <c r="HJ214" s="214" t="str">
        <f t="shared" ref="HJ214:HO214" si="743">HJ$10</f>
        <v>Kvartal 2</v>
      </c>
      <c r="HK214" s="214" t="str">
        <f t="shared" si="743"/>
        <v>Kvartal 2</v>
      </c>
      <c r="HL214" s="214" t="str">
        <f t="shared" si="743"/>
        <v>Kvartal 1-2</v>
      </c>
      <c r="HM214" s="214" t="str">
        <f t="shared" si="743"/>
        <v>Kvartal 1-2</v>
      </c>
      <c r="HN214" s="214" t="str">
        <f t="shared" si="743"/>
        <v>Kvartal 2, R12</v>
      </c>
      <c r="HO214" s="214" t="str">
        <f t="shared" si="743"/>
        <v>Helår</v>
      </c>
      <c r="HP214" s="2007"/>
    </row>
    <row r="215" spans="201:224" x14ac:dyDescent="0.2">
      <c r="GU215" s="1581"/>
      <c r="GV215" s="396"/>
      <c r="GW215" s="1124"/>
      <c r="GX215" s="1124"/>
      <c r="GY215" s="1124"/>
      <c r="GZ215" s="1124"/>
      <c r="HA215" s="1124"/>
      <c r="HB215" s="1124"/>
      <c r="HC215" s="1124"/>
      <c r="HD215" s="1124"/>
      <c r="HE215" s="1124"/>
      <c r="HF215" s="1124"/>
      <c r="HG215" s="1124"/>
      <c r="HH215" s="1124"/>
      <c r="HJ215" s="1124">
        <f t="shared" ref="HJ215:HO215" si="744">HJ$11</f>
        <v>2026</v>
      </c>
      <c r="HK215" s="1124">
        <f t="shared" si="744"/>
        <v>2025</v>
      </c>
      <c r="HL215" s="1124">
        <f t="shared" si="744"/>
        <v>2026</v>
      </c>
      <c r="HM215" s="1124">
        <f t="shared" si="744"/>
        <v>2025</v>
      </c>
      <c r="HN215" s="1124">
        <f t="shared" si="744"/>
        <v>2026</v>
      </c>
      <c r="HO215" s="1124">
        <f t="shared" si="744"/>
        <v>2025</v>
      </c>
      <c r="HP215" s="2007"/>
    </row>
    <row r="216" spans="201:224" x14ac:dyDescent="0.2">
      <c r="GU216" s="264" t="s">
        <v>425</v>
      </c>
      <c r="GV216" s="396"/>
      <c r="GW216" s="2090">
        <f t="shared" ref="GW216:HH216" si="745">GW$261</f>
        <v>1492</v>
      </c>
      <c r="GX216" s="2090">
        <f t="shared" si="745"/>
        <v>1490.5</v>
      </c>
      <c r="GY216" s="2090">
        <f t="shared" si="745"/>
        <v>1417.6999999999998</v>
      </c>
      <c r="GZ216" s="2090">
        <f t="shared" si="745"/>
        <v>1357.8999999999999</v>
      </c>
      <c r="HA216" s="2090">
        <f t="shared" si="745"/>
        <v>1464.6999999999998</v>
      </c>
      <c r="HB216" s="2090">
        <f t="shared" si="745"/>
        <v>1473.3</v>
      </c>
      <c r="HC216" s="2090">
        <f t="shared" si="745"/>
        <v>1467.8</v>
      </c>
      <c r="HD216" s="2090">
        <f t="shared" si="745"/>
        <v>1400.6</v>
      </c>
      <c r="HE216" s="2090">
        <f t="shared" si="745"/>
        <v>1456.3</v>
      </c>
      <c r="HF216" s="2090">
        <f t="shared" si="745"/>
        <v>1478.1999999999998</v>
      </c>
      <c r="HG216" s="2090">
        <f t="shared" si="745"/>
        <v>0</v>
      </c>
      <c r="HH216" s="2090">
        <f t="shared" si="745"/>
        <v>0</v>
      </c>
      <c r="HJ216" s="426"/>
      <c r="HK216" s="426"/>
      <c r="HL216" s="426"/>
      <c r="HM216" s="426"/>
      <c r="HN216" s="426"/>
      <c r="HO216" s="426"/>
      <c r="HP216" s="2009"/>
    </row>
    <row r="217" spans="201:224" x14ac:dyDescent="0.2">
      <c r="GU217" s="2092" t="s">
        <v>426</v>
      </c>
      <c r="GV217" s="396"/>
      <c r="GW217" s="2090">
        <f>'Koncern BR'!H36</f>
        <v>87.7</v>
      </c>
      <c r="GX217" s="2090">
        <f>'Koncern BR'!I36</f>
        <v>88.3</v>
      </c>
      <c r="GY217" s="2090">
        <f>'Koncern BR'!J36</f>
        <v>89.5</v>
      </c>
      <c r="GZ217" s="2090">
        <f>'Koncern BR'!K36</f>
        <v>93.5</v>
      </c>
      <c r="HA217" s="2090">
        <f>'Koncern BR'!L36</f>
        <v>95.3</v>
      </c>
      <c r="HB217" s="2090">
        <f>'Koncern BR'!M36</f>
        <v>92.7</v>
      </c>
      <c r="HC217" s="2090">
        <f>'Koncern BR'!N36</f>
        <v>93.8</v>
      </c>
      <c r="HD217" s="2090">
        <f>'Koncern BR'!O36</f>
        <v>96.7</v>
      </c>
      <c r="HE217" s="2090">
        <f>'Koncern BR'!P36</f>
        <v>95.1</v>
      </c>
      <c r="HF217" s="2090">
        <f>'Koncern BR'!Q36</f>
        <v>97.5</v>
      </c>
      <c r="HG217" s="2090">
        <f>'Koncern BR'!R36</f>
        <v>0</v>
      </c>
      <c r="HH217" s="2090">
        <f>'Koncern BR'!S36</f>
        <v>0</v>
      </c>
      <c r="HJ217" s="264"/>
      <c r="HK217" s="264"/>
      <c r="HL217" s="264"/>
      <c r="HM217" s="264"/>
      <c r="HN217" s="264"/>
      <c r="HO217" s="264"/>
      <c r="HP217" s="2010"/>
    </row>
    <row r="218" spans="201:224" x14ac:dyDescent="0.2">
      <c r="GU218" s="2093" t="s">
        <v>427</v>
      </c>
      <c r="GV218" s="396"/>
      <c r="GW218" s="2091">
        <f>'Koncern BR'!H39</f>
        <v>610.9</v>
      </c>
      <c r="GX218" s="2091">
        <f>'Koncern BR'!I39</f>
        <v>615.1</v>
      </c>
      <c r="GY218" s="2091">
        <f>'Koncern BR'!J39</f>
        <v>532.29999999999995</v>
      </c>
      <c r="GZ218" s="2091">
        <f>'Koncern BR'!K39</f>
        <v>464.8</v>
      </c>
      <c r="HA218" s="2091">
        <f>'Koncern BR'!L39</f>
        <v>530.79999999999995</v>
      </c>
      <c r="HB218" s="2091">
        <f>'Koncern BR'!M39</f>
        <v>529.20000000000005</v>
      </c>
      <c r="HC218" s="2091">
        <f>'Koncern BR'!N39</f>
        <v>460.3</v>
      </c>
      <c r="HD218" s="2091">
        <f>'Koncern BR'!O39</f>
        <v>365.3</v>
      </c>
      <c r="HE218" s="2091">
        <f>'Koncern BR'!P39</f>
        <v>434.2</v>
      </c>
      <c r="HF218" s="2091">
        <f>'Koncern BR'!Q39</f>
        <v>456.4</v>
      </c>
      <c r="HG218" s="2091">
        <f>'Koncern BR'!R39</f>
        <v>0</v>
      </c>
      <c r="HH218" s="2091">
        <f>'Koncern BR'!S39</f>
        <v>0</v>
      </c>
      <c r="HJ218" s="264"/>
      <c r="HK218" s="264"/>
      <c r="HL218" s="264"/>
      <c r="HM218" s="264"/>
      <c r="HN218" s="264"/>
      <c r="HO218" s="264"/>
      <c r="HP218" s="2010"/>
    </row>
    <row r="219" spans="201:224" x14ac:dyDescent="0.2">
      <c r="GU219" s="2277" t="s">
        <v>428</v>
      </c>
      <c r="GV219" s="396"/>
      <c r="GW219" s="1143">
        <f>GW216-GW217-GW218</f>
        <v>793.4</v>
      </c>
      <c r="GX219" s="1143">
        <f t="shared" ref="GX219:HH219" si="746">GX216-GX217-GX218</f>
        <v>787.1</v>
      </c>
      <c r="GY219" s="1143">
        <f t="shared" si="746"/>
        <v>795.89999999999986</v>
      </c>
      <c r="GZ219" s="1143">
        <f t="shared" si="746"/>
        <v>799.59999999999991</v>
      </c>
      <c r="HA219" s="1143">
        <f t="shared" si="746"/>
        <v>838.59999999999991</v>
      </c>
      <c r="HB219" s="1143">
        <f t="shared" si="746"/>
        <v>851.39999999999986</v>
      </c>
      <c r="HC219" s="1143">
        <f t="shared" si="746"/>
        <v>913.7</v>
      </c>
      <c r="HD219" s="1143">
        <f t="shared" si="746"/>
        <v>938.59999999999991</v>
      </c>
      <c r="HE219" s="1143">
        <f t="shared" si="746"/>
        <v>927</v>
      </c>
      <c r="HF219" s="1143">
        <f t="shared" si="746"/>
        <v>924.29999999999984</v>
      </c>
      <c r="HG219" s="1143">
        <f t="shared" si="746"/>
        <v>0</v>
      </c>
      <c r="HH219" s="1143">
        <f t="shared" si="746"/>
        <v>0</v>
      </c>
      <c r="HJ219" s="264"/>
      <c r="HK219" s="264"/>
      <c r="HL219" s="264"/>
      <c r="HM219" s="264"/>
      <c r="HN219" s="264"/>
      <c r="HO219" s="264"/>
      <c r="HP219" s="2011"/>
    </row>
    <row r="220" spans="201:224" x14ac:dyDescent="0.2">
      <c r="GV220" s="396"/>
      <c r="GW220" s="242"/>
      <c r="GX220" s="242"/>
      <c r="GY220" s="242"/>
      <c r="GZ220" s="242"/>
      <c r="HA220" s="242"/>
      <c r="HB220" s="242"/>
      <c r="HC220" s="242"/>
      <c r="HD220" s="242"/>
      <c r="HE220" s="242"/>
      <c r="HF220" s="242"/>
      <c r="HG220" s="242"/>
      <c r="HH220" s="242"/>
      <c r="HP220" s="2000"/>
    </row>
    <row r="221" spans="201:224" x14ac:dyDescent="0.2">
      <c r="GU221" s="2092" t="s">
        <v>757</v>
      </c>
      <c r="GV221" s="396"/>
      <c r="GW221" s="2090">
        <f t="shared" ref="GW221:HH221" si="747">T29</f>
        <v>34.600000000000044</v>
      </c>
      <c r="GX221" s="2090">
        <f t="shared" si="747"/>
        <v>52.400000000000048</v>
      </c>
      <c r="GY221" s="2090">
        <f t="shared" si="747"/>
        <v>23.699999999999818</v>
      </c>
      <c r="GZ221" s="2090">
        <f t="shared" si="747"/>
        <v>22.200000000000227</v>
      </c>
      <c r="HA221" s="2090">
        <f t="shared" si="747"/>
        <v>58.900000000000098</v>
      </c>
      <c r="HB221" s="2090">
        <f t="shared" si="747"/>
        <v>34.599999999999852</v>
      </c>
      <c r="HC221" s="2090">
        <f t="shared" si="747"/>
        <v>26.800000000000093</v>
      </c>
      <c r="HD221" s="2090">
        <f t="shared" si="747"/>
        <v>21.400000000000095</v>
      </c>
      <c r="HE221" s="2090">
        <f t="shared" si="747"/>
        <v>47.199999999999982</v>
      </c>
      <c r="HF221" s="2090">
        <f t="shared" si="747"/>
        <v>88.100000000000065</v>
      </c>
      <c r="HG221" s="2090">
        <f t="shared" si="747"/>
        <v>-15.000000000000046</v>
      </c>
      <c r="HH221" s="2090">
        <f t="shared" si="747"/>
        <v>21.400000000000095</v>
      </c>
      <c r="HJ221" s="264"/>
      <c r="HK221" s="264"/>
      <c r="HL221" s="264"/>
      <c r="HM221" s="264"/>
      <c r="HN221" s="264"/>
      <c r="HO221" s="264"/>
      <c r="HP221" s="2000"/>
    </row>
    <row r="222" spans="201:224" x14ac:dyDescent="0.2">
      <c r="GU222" s="2092" t="s">
        <v>755</v>
      </c>
      <c r="GV222" s="396"/>
      <c r="GW222" s="2090">
        <f t="shared" ref="GW222:HH222" si="748">G29</f>
        <v>34.600000000000044</v>
      </c>
      <c r="GX222" s="2090">
        <f t="shared" si="748"/>
        <v>87.000000000000099</v>
      </c>
      <c r="GY222" s="2090">
        <f t="shared" si="748"/>
        <v>110.6999999999999</v>
      </c>
      <c r="GZ222" s="2090">
        <f t="shared" si="748"/>
        <v>132.90000000000015</v>
      </c>
      <c r="HA222" s="2090">
        <f t="shared" si="748"/>
        <v>58.900000000000063</v>
      </c>
      <c r="HB222" s="2090">
        <f t="shared" si="748"/>
        <v>93.499999999999915</v>
      </c>
      <c r="HC222" s="2090">
        <f t="shared" si="748"/>
        <v>120.3</v>
      </c>
      <c r="HD222" s="2090">
        <f t="shared" si="748"/>
        <v>141.7000000000001</v>
      </c>
      <c r="HE222" s="2090">
        <f t="shared" si="748"/>
        <v>47.199999999999982</v>
      </c>
      <c r="HF222" s="2090">
        <f t="shared" si="748"/>
        <v>135.30000000000004</v>
      </c>
      <c r="HG222" s="2090">
        <f t="shared" si="748"/>
        <v>120.3</v>
      </c>
      <c r="HH222" s="2090">
        <f t="shared" si="748"/>
        <v>141.7000000000001</v>
      </c>
      <c r="HJ222" s="264"/>
      <c r="HK222" s="264"/>
      <c r="HL222" s="264"/>
      <c r="HM222" s="264"/>
      <c r="HN222" s="264"/>
      <c r="HO222" s="264"/>
      <c r="HP222" s="2000"/>
    </row>
    <row r="223" spans="201:224" x14ac:dyDescent="0.2">
      <c r="GU223" s="2092"/>
      <c r="GV223" s="396"/>
      <c r="GW223" s="2090"/>
      <c r="GX223" s="2090"/>
      <c r="GY223" s="2090"/>
      <c r="GZ223" s="2090"/>
      <c r="HA223" s="2090"/>
      <c r="HB223" s="2090"/>
      <c r="HC223" s="2090"/>
      <c r="HD223" s="2090"/>
      <c r="HE223" s="2090"/>
      <c r="HF223" s="2090"/>
      <c r="HG223" s="2090"/>
      <c r="HH223" s="2090"/>
      <c r="HJ223" s="264"/>
      <c r="HK223" s="264"/>
      <c r="HL223" s="264"/>
      <c r="HM223" s="264"/>
      <c r="HN223" s="264"/>
      <c r="HO223" s="264"/>
      <c r="HP223" s="2000"/>
    </row>
    <row r="224" spans="201:224" x14ac:dyDescent="0.2">
      <c r="GU224" s="2092" t="s">
        <v>758</v>
      </c>
      <c r="GV224" s="396"/>
      <c r="GW224" s="2090">
        <f>'Räntekostnader finansinst'!E24/1000</f>
        <v>1.9794301099999998</v>
      </c>
      <c r="GX224" s="2090">
        <f>'Räntekostnader finansinst'!F24/1000</f>
        <v>2.15942765</v>
      </c>
      <c r="GY224" s="2090">
        <f>'Räntekostnader finansinst'!G24/1000</f>
        <v>2.02239207</v>
      </c>
      <c r="GZ224" s="2090">
        <f>'Räntekostnader finansinst'!H24/1000</f>
        <v>0</v>
      </c>
      <c r="HA224" s="2090">
        <f>'Räntekostnader finansinst'!I24/1000</f>
        <v>1.51217991</v>
      </c>
      <c r="HB224" s="2090">
        <f>'Räntekostnader finansinst'!J24/1000</f>
        <v>1.34021302</v>
      </c>
      <c r="HC224" s="2090">
        <f>'Räntekostnader finansinst'!K24/1000</f>
        <v>1.2307499000000002</v>
      </c>
      <c r="HD224" s="2090">
        <f>'Räntekostnader finansinst'!L24/1000</f>
        <v>2.1039480499999996</v>
      </c>
      <c r="HE224" s="2090">
        <f>'Räntekostnader finansinst'!M24/1000</f>
        <v>1.9461505800000001</v>
      </c>
      <c r="HF224" s="2090">
        <f>'Räntekostnader finansinst'!N24/1000</f>
        <v>2.3421331799999994</v>
      </c>
      <c r="HG224" s="2090" t="e">
        <f>'Räntekostnader finansinst'!O24/1000</f>
        <v>#N/A</v>
      </c>
      <c r="HH224" s="2090" t="e">
        <f>'Räntekostnader finansinst'!P24/1000</f>
        <v>#N/A</v>
      </c>
      <c r="HJ224" s="264"/>
      <c r="HK224" s="264"/>
      <c r="HL224" s="264"/>
      <c r="HM224" s="264"/>
      <c r="HN224" s="264"/>
      <c r="HO224" s="264"/>
      <c r="HP224" s="2000"/>
    </row>
    <row r="225" spans="202:233" x14ac:dyDescent="0.2">
      <c r="GU225" s="2092" t="s">
        <v>756</v>
      </c>
      <c r="GV225" s="396"/>
      <c r="GW225" s="2090">
        <f>GW272</f>
        <v>1.9794301099999998</v>
      </c>
      <c r="GX225" s="2090">
        <f t="shared" ref="GX225:HH225" si="749">GX272</f>
        <v>4.1388577599999996</v>
      </c>
      <c r="GY225" s="2090">
        <f t="shared" si="749"/>
        <v>6.1612498299999992</v>
      </c>
      <c r="GZ225" s="2090">
        <f t="shared" si="749"/>
        <v>6.1612498299999992</v>
      </c>
      <c r="HA225" s="2090">
        <f t="shared" si="749"/>
        <v>1.51217991</v>
      </c>
      <c r="HB225" s="2090">
        <f t="shared" si="749"/>
        <v>2.8523929299999997</v>
      </c>
      <c r="HC225" s="2090">
        <f t="shared" si="749"/>
        <v>4.0831428299999999</v>
      </c>
      <c r="HD225" s="2090">
        <f t="shared" si="749"/>
        <v>6.1870908799999995</v>
      </c>
      <c r="HE225" s="2090">
        <f t="shared" si="749"/>
        <v>1.9461505800000001</v>
      </c>
      <c r="HF225" s="2090">
        <f t="shared" si="749"/>
        <v>4.2882837599999997</v>
      </c>
      <c r="HG225" s="2090" t="e">
        <f t="shared" si="749"/>
        <v>#N/A</v>
      </c>
      <c r="HH225" s="2090" t="e">
        <f t="shared" si="749"/>
        <v>#N/A</v>
      </c>
      <c r="HJ225" s="264"/>
      <c r="HK225" s="264"/>
      <c r="HL225" s="264"/>
      <c r="HM225" s="264"/>
      <c r="HN225" s="264"/>
      <c r="HO225" s="264"/>
      <c r="HP225" s="2000"/>
    </row>
    <row r="226" spans="202:233" x14ac:dyDescent="0.2">
      <c r="GU226" s="2092"/>
      <c r="GV226" s="396"/>
      <c r="GW226" s="2090"/>
      <c r="GX226" s="2090"/>
      <c r="GY226" s="2090"/>
      <c r="GZ226" s="2090"/>
      <c r="HA226" s="2090"/>
      <c r="HB226" s="2090"/>
      <c r="HC226" s="2090"/>
      <c r="HD226" s="2090"/>
      <c r="HE226" s="2090"/>
      <c r="HF226" s="2090"/>
      <c r="HG226" s="2090"/>
      <c r="HH226" s="2090"/>
      <c r="HJ226" s="264"/>
      <c r="HK226" s="264"/>
      <c r="HL226" s="264"/>
      <c r="HM226" s="264"/>
      <c r="HN226" s="264"/>
      <c r="HO226" s="264"/>
      <c r="HP226" s="2000"/>
    </row>
    <row r="227" spans="202:233" x14ac:dyDescent="0.2">
      <c r="GU227" s="2092" t="s">
        <v>797</v>
      </c>
      <c r="GV227" s="396"/>
      <c r="GW227" s="2090">
        <f>GW221+GW224</f>
        <v>36.579430110000047</v>
      </c>
      <c r="GX227" s="2090">
        <f t="shared" ref="GX227:HH227" si="750">GX221+GX224</f>
        <v>54.559427650000046</v>
      </c>
      <c r="GY227" s="2090">
        <f t="shared" si="750"/>
        <v>25.722392069999817</v>
      </c>
      <c r="GZ227" s="2090">
        <f t="shared" si="750"/>
        <v>22.200000000000227</v>
      </c>
      <c r="HA227" s="2090">
        <f t="shared" si="750"/>
        <v>60.412179910000098</v>
      </c>
      <c r="HB227" s="2090">
        <f t="shared" si="750"/>
        <v>35.940213019999852</v>
      </c>
      <c r="HC227" s="2090">
        <f t="shared" si="750"/>
        <v>28.030749900000092</v>
      </c>
      <c r="HD227" s="2090">
        <f t="shared" si="750"/>
        <v>23.503948050000094</v>
      </c>
      <c r="HE227" s="2090">
        <f t="shared" si="750"/>
        <v>49.146150579999983</v>
      </c>
      <c r="HF227" s="2090">
        <f t="shared" si="750"/>
        <v>90.44213318000007</v>
      </c>
      <c r="HG227" s="2090" t="e">
        <f t="shared" si="750"/>
        <v>#N/A</v>
      </c>
      <c r="HH227" s="2090" t="e">
        <f t="shared" si="750"/>
        <v>#N/A</v>
      </c>
      <c r="HJ227" s="2280">
        <f>HF227</f>
        <v>90.44213318000007</v>
      </c>
      <c r="HK227" s="2280">
        <f>HB227</f>
        <v>35.940213019999852</v>
      </c>
      <c r="HL227" s="264"/>
      <c r="HM227" s="264"/>
      <c r="HN227" s="264"/>
      <c r="HO227" s="264"/>
      <c r="HP227" s="2000"/>
    </row>
    <row r="228" spans="202:233" x14ac:dyDescent="0.2">
      <c r="GU228" s="2092" t="s">
        <v>759</v>
      </c>
      <c r="GV228" s="396"/>
      <c r="GW228" s="2090">
        <f>GW222+GW225</f>
        <v>36.579430110000047</v>
      </c>
      <c r="GX228" s="2090">
        <f t="shared" ref="GX228:HH228" si="751">GX222+GX225</f>
        <v>91.138857760000093</v>
      </c>
      <c r="GY228" s="2090">
        <f t="shared" si="751"/>
        <v>116.86124982999991</v>
      </c>
      <c r="GZ228" s="2090">
        <f t="shared" si="751"/>
        <v>139.06124983000015</v>
      </c>
      <c r="HA228" s="2090">
        <f t="shared" si="751"/>
        <v>60.412179910000063</v>
      </c>
      <c r="HB228" s="2090">
        <f t="shared" si="751"/>
        <v>96.352392929999908</v>
      </c>
      <c r="HC228" s="2090">
        <f t="shared" si="751"/>
        <v>124.38314283</v>
      </c>
      <c r="HD228" s="2090">
        <f t="shared" si="751"/>
        <v>147.8870908800001</v>
      </c>
      <c r="HE228" s="2090">
        <f t="shared" si="751"/>
        <v>49.146150579999983</v>
      </c>
      <c r="HF228" s="2090">
        <f t="shared" si="751"/>
        <v>139.58828376000005</v>
      </c>
      <c r="HG228" s="2090" t="e">
        <f t="shared" si="751"/>
        <v>#N/A</v>
      </c>
      <c r="HH228" s="2090" t="e">
        <f t="shared" si="751"/>
        <v>#N/A</v>
      </c>
      <c r="HJ228" s="2280"/>
      <c r="HK228" s="2280"/>
      <c r="HL228" s="264"/>
      <c r="HM228" s="264"/>
      <c r="HN228" s="264"/>
      <c r="HO228" s="264"/>
      <c r="HP228" s="2000"/>
    </row>
    <row r="229" spans="202:233" x14ac:dyDescent="0.2">
      <c r="GU229" s="2092"/>
      <c r="GV229" s="396"/>
      <c r="GW229" s="2090"/>
      <c r="GX229" s="2090"/>
      <c r="GY229" s="2090"/>
      <c r="GZ229" s="2090"/>
      <c r="HA229" s="2090"/>
      <c r="HB229" s="2090"/>
      <c r="HC229" s="2090"/>
      <c r="HD229" s="2090"/>
      <c r="HE229" s="2090"/>
      <c r="HF229" s="2090"/>
      <c r="HG229" s="2090"/>
      <c r="HH229" s="2090"/>
      <c r="HJ229" s="264"/>
      <c r="HK229" s="264"/>
      <c r="HL229" s="264"/>
      <c r="HM229" s="264"/>
      <c r="HN229" s="264"/>
      <c r="HO229" s="264"/>
      <c r="HP229" s="2000"/>
    </row>
    <row r="230" spans="202:233" x14ac:dyDescent="0.2">
      <c r="GU230" s="2277" t="s">
        <v>759</v>
      </c>
      <c r="GV230" s="396"/>
      <c r="GW230" s="2281">
        <f>GW228</f>
        <v>36.579430110000047</v>
      </c>
      <c r="GX230" s="2281">
        <f t="shared" ref="GX230:HH230" si="752">GX228</f>
        <v>91.138857760000093</v>
      </c>
      <c r="GY230" s="2281">
        <f t="shared" si="752"/>
        <v>116.86124982999991</v>
      </c>
      <c r="GZ230" s="2281">
        <f t="shared" si="752"/>
        <v>139.06124983000015</v>
      </c>
      <c r="HA230" s="2281">
        <f t="shared" si="752"/>
        <v>60.412179910000063</v>
      </c>
      <c r="HB230" s="2281">
        <f t="shared" si="752"/>
        <v>96.352392929999908</v>
      </c>
      <c r="HC230" s="2281">
        <f t="shared" si="752"/>
        <v>124.38314283</v>
      </c>
      <c r="HD230" s="2281">
        <f t="shared" si="752"/>
        <v>147.8870908800001</v>
      </c>
      <c r="HE230" s="2281">
        <f t="shared" si="752"/>
        <v>49.146150579999983</v>
      </c>
      <c r="HF230" s="2281">
        <f t="shared" si="752"/>
        <v>139.58828376000005</v>
      </c>
      <c r="HG230" s="2281" t="e">
        <f t="shared" si="752"/>
        <v>#N/A</v>
      </c>
      <c r="HH230" s="2281" t="e">
        <f t="shared" si="752"/>
        <v>#N/A</v>
      </c>
      <c r="HJ230" s="2281">
        <f>HJ227</f>
        <v>90.44213318000007</v>
      </c>
      <c r="HK230" s="2281">
        <f>HK227</f>
        <v>35.940213019999852</v>
      </c>
      <c r="HL230" s="2454">
        <f>HF230</f>
        <v>139.58828376000005</v>
      </c>
      <c r="HM230" s="2454">
        <f>HB230</f>
        <v>96.352392929999908</v>
      </c>
      <c r="HN230" s="264"/>
      <c r="HO230" s="264"/>
      <c r="HP230" s="2000"/>
    </row>
    <row r="231" spans="202:233" x14ac:dyDescent="0.2">
      <c r="GU231" s="2282" t="s">
        <v>754</v>
      </c>
      <c r="GV231" s="396"/>
      <c r="GW231" s="2283">
        <v>4</v>
      </c>
      <c r="GX231" s="2283">
        <v>2</v>
      </c>
      <c r="GY231" s="2283">
        <v>1.3333299999999999</v>
      </c>
      <c r="GZ231" s="2283">
        <v>1</v>
      </c>
      <c r="HA231" s="2283">
        <f>GW231</f>
        <v>4</v>
      </c>
      <c r="HB231" s="2283">
        <f t="shared" ref="HB231" si="753">GX231</f>
        <v>2</v>
      </c>
      <c r="HC231" s="2283">
        <f t="shared" ref="HC231" si="754">GY231</f>
        <v>1.3333299999999999</v>
      </c>
      <c r="HD231" s="2283">
        <f t="shared" ref="HD231" si="755">GZ231</f>
        <v>1</v>
      </c>
      <c r="HE231" s="2283">
        <f t="shared" ref="HE231" si="756">HA231</f>
        <v>4</v>
      </c>
      <c r="HF231" s="2283">
        <f t="shared" ref="HF231" si="757">HB231</f>
        <v>2</v>
      </c>
      <c r="HG231" s="2283">
        <f t="shared" ref="HG231" si="758">HC231</f>
        <v>1.3333299999999999</v>
      </c>
      <c r="HH231" s="2283">
        <f t="shared" ref="HH231" si="759">HD231</f>
        <v>1</v>
      </c>
      <c r="HJ231" s="2283">
        <v>4</v>
      </c>
      <c r="HK231" s="2283">
        <v>4</v>
      </c>
      <c r="HL231" s="2455">
        <f>HF231</f>
        <v>2</v>
      </c>
      <c r="HM231" s="2455">
        <f>HB231</f>
        <v>2</v>
      </c>
      <c r="HN231" s="264"/>
      <c r="HO231" s="264"/>
      <c r="HP231" s="2000"/>
    </row>
    <row r="232" spans="202:233" ht="12" thickBot="1" x14ac:dyDescent="0.25">
      <c r="GU232" s="2284" t="s">
        <v>765</v>
      </c>
      <c r="GV232" s="396"/>
      <c r="GW232" s="2285">
        <f>GW230*GW231</f>
        <v>146.31772044000019</v>
      </c>
      <c r="GX232" s="2285">
        <f t="shared" ref="GX232:HH232" si="760">GX230*GX231</f>
        <v>182.27771552000019</v>
      </c>
      <c r="GY232" s="2285">
        <f t="shared" si="760"/>
        <v>155.81461023583375</v>
      </c>
      <c r="GZ232" s="2285">
        <f t="shared" si="760"/>
        <v>139.06124983000015</v>
      </c>
      <c r="HA232" s="2285">
        <f t="shared" si="760"/>
        <v>241.64871964000025</v>
      </c>
      <c r="HB232" s="2285">
        <f t="shared" si="760"/>
        <v>192.70478585999982</v>
      </c>
      <c r="HC232" s="2285">
        <f t="shared" si="760"/>
        <v>165.84377582952388</v>
      </c>
      <c r="HD232" s="2285">
        <f t="shared" si="760"/>
        <v>147.8870908800001</v>
      </c>
      <c r="HE232" s="2285">
        <f t="shared" si="760"/>
        <v>196.58460231999993</v>
      </c>
      <c r="HF232" s="2285">
        <f t="shared" si="760"/>
        <v>279.17656752000011</v>
      </c>
      <c r="HG232" s="2285" t="e">
        <f t="shared" si="760"/>
        <v>#N/A</v>
      </c>
      <c r="HH232" s="2285" t="e">
        <f t="shared" si="760"/>
        <v>#N/A</v>
      </c>
      <c r="HJ232" s="2285">
        <f>HJ230*HJ231</f>
        <v>361.76853272000028</v>
      </c>
      <c r="HK232" s="2285">
        <f>HK230*HK231</f>
        <v>143.76085207999941</v>
      </c>
      <c r="HL232" s="2456">
        <f>HF232</f>
        <v>279.17656752000011</v>
      </c>
      <c r="HM232" s="2456">
        <f>HB232</f>
        <v>192.70478585999982</v>
      </c>
      <c r="HN232" s="2285">
        <f>HF228+SUM(HC227:HD227)</f>
        <v>191.12298171000023</v>
      </c>
      <c r="HO232" s="2285">
        <f>SUM(HD228)</f>
        <v>147.8870908800001</v>
      </c>
      <c r="HP232" s="2000"/>
    </row>
    <row r="233" spans="202:233" ht="12" thickTop="1" x14ac:dyDescent="0.2">
      <c r="GU233" s="1146" t="s">
        <v>760</v>
      </c>
      <c r="GV233" s="396"/>
      <c r="GW233" s="1143"/>
      <c r="GX233" s="1143"/>
      <c r="GY233" s="1143"/>
      <c r="GZ233" s="1143"/>
      <c r="HA233" s="1143">
        <f>($GZ219+HA219)/2</f>
        <v>819.09999999999991</v>
      </c>
      <c r="HB233" s="1143">
        <f>($GZ219+HB219)/2</f>
        <v>825.49999999999989</v>
      </c>
      <c r="HC233" s="1143">
        <f>($GZ219+HC219)/2</f>
        <v>856.65</v>
      </c>
      <c r="HD233" s="1143">
        <f>($GZ219+HD219)/2</f>
        <v>869.09999999999991</v>
      </c>
      <c r="HE233" s="1143">
        <f>($HD219+HE219)/2</f>
        <v>932.8</v>
      </c>
      <c r="HF233" s="1143">
        <f>($HD219+HF219)/2</f>
        <v>931.44999999999982</v>
      </c>
      <c r="HG233" s="1143">
        <f>($HD219+HG219)/2</f>
        <v>469.29999999999995</v>
      </c>
      <c r="HH233" s="1143">
        <f>($HD219+HH219)/2</f>
        <v>469.29999999999995</v>
      </c>
      <c r="HJ233" s="1143">
        <f>($HE219+HF219)/2</f>
        <v>925.64999999999986</v>
      </c>
      <c r="HK233" s="1143">
        <f>($HA219+HB219)/2</f>
        <v>844.99999999999989</v>
      </c>
      <c r="HL233" s="1580">
        <f>HF233</f>
        <v>931.44999999999982</v>
      </c>
      <c r="HM233" s="1580">
        <f>HB233</f>
        <v>825.49999999999989</v>
      </c>
      <c r="HN233" s="1146">
        <f>(HF219+HB219)/2</f>
        <v>887.84999999999991</v>
      </c>
      <c r="HO233" s="1146">
        <f>(HD219+GZ219)/2</f>
        <v>869.09999999999991</v>
      </c>
      <c r="HP233" s="2000" t="s">
        <v>761</v>
      </c>
      <c r="HS233" s="443"/>
      <c r="HT233" s="443"/>
      <c r="HU233" s="443"/>
      <c r="HV233" s="443"/>
      <c r="HW233" s="443"/>
      <c r="HX233" s="443"/>
      <c r="HY233" s="443"/>
    </row>
    <row r="234" spans="202:233" x14ac:dyDescent="0.2">
      <c r="GU234" s="2286" t="s">
        <v>766</v>
      </c>
      <c r="GV234" s="396"/>
      <c r="GW234" s="1144" t="e">
        <f>GW232/GW233</f>
        <v>#DIV/0!</v>
      </c>
      <c r="GX234" s="1144" t="e">
        <f t="shared" ref="GX234:HH234" si="761">GX232/GX233</f>
        <v>#DIV/0!</v>
      </c>
      <c r="GY234" s="1144" t="e">
        <f t="shared" si="761"/>
        <v>#DIV/0!</v>
      </c>
      <c r="GZ234" s="1144" t="e">
        <f t="shared" si="761"/>
        <v>#DIV/0!</v>
      </c>
      <c r="HA234" s="1144">
        <f t="shared" si="761"/>
        <v>0.29501736007813489</v>
      </c>
      <c r="HB234" s="1144">
        <f t="shared" si="761"/>
        <v>0.23344007978195014</v>
      </c>
      <c r="HC234" s="1144">
        <f t="shared" si="761"/>
        <v>0.19359572267498265</v>
      </c>
      <c r="HD234" s="1144">
        <f t="shared" si="761"/>
        <v>0.17016119074905087</v>
      </c>
      <c r="HE234" s="1144">
        <f t="shared" si="761"/>
        <v>0.21074678636363631</v>
      </c>
      <c r="HF234" s="1144">
        <f t="shared" si="761"/>
        <v>0.29972254819904465</v>
      </c>
      <c r="HG234" s="1144" t="e">
        <f t="shared" si="761"/>
        <v>#N/A</v>
      </c>
      <c r="HH234" s="1144" t="e">
        <f t="shared" si="761"/>
        <v>#N/A</v>
      </c>
      <c r="HJ234" s="1144">
        <f t="shared" ref="HJ234:HK234" si="762">HJ232/HJ233</f>
        <v>0.39082648162912587</v>
      </c>
      <c r="HK234" s="1144">
        <f t="shared" si="762"/>
        <v>0.17013118589349044</v>
      </c>
      <c r="HL234" s="2457">
        <f>HF234</f>
        <v>0.29972254819904465</v>
      </c>
      <c r="HM234" s="2457">
        <f>HB234</f>
        <v>0.23344007978195014</v>
      </c>
      <c r="HN234" s="1144">
        <f t="shared" ref="HN234:HO234" si="763">HN232/HN233</f>
        <v>0.21526494532860307</v>
      </c>
      <c r="HO234" s="1144">
        <f t="shared" si="763"/>
        <v>0.17016119074905087</v>
      </c>
      <c r="HP234" s="2001"/>
      <c r="HS234" s="443"/>
      <c r="HT234" s="443"/>
      <c r="HU234" s="443"/>
      <c r="HV234" s="443"/>
      <c r="HW234" s="443"/>
      <c r="HX234" s="443"/>
      <c r="HY234" s="443"/>
    </row>
    <row r="235" spans="202:233" x14ac:dyDescent="0.2">
      <c r="GV235" s="396"/>
      <c r="GW235" s="242"/>
      <c r="GX235" s="242"/>
      <c r="GY235" s="242"/>
      <c r="GZ235" s="242"/>
      <c r="HA235" s="242"/>
      <c r="HB235" s="242"/>
      <c r="HC235" s="242"/>
      <c r="HD235" s="242"/>
      <c r="HE235" s="242"/>
      <c r="HF235" s="242"/>
      <c r="HG235" s="242"/>
      <c r="HH235" s="242"/>
      <c r="HP235" s="2000"/>
      <c r="HS235" s="443"/>
      <c r="HT235" s="443"/>
      <c r="HU235" s="443"/>
      <c r="HV235" s="443"/>
      <c r="HW235" s="443"/>
      <c r="HX235" s="443"/>
      <c r="HY235" s="443"/>
    </row>
    <row r="236" spans="202:233" x14ac:dyDescent="0.2">
      <c r="GT236" s="242">
        <v>1</v>
      </c>
      <c r="GU236" s="426" t="s">
        <v>312</v>
      </c>
      <c r="GV236" s="426"/>
      <c r="GW236" s="426"/>
      <c r="GX236" s="426"/>
      <c r="GY236" s="426"/>
      <c r="GZ236" s="426"/>
      <c r="HA236" s="426"/>
      <c r="HB236" s="426"/>
      <c r="HC236" s="426"/>
      <c r="HD236" s="426"/>
      <c r="HE236" s="426"/>
      <c r="HF236" s="426"/>
      <c r="HG236" s="426"/>
      <c r="HH236" s="426"/>
      <c r="HI236" s="426"/>
      <c r="HJ236" s="2431">
        <f>HF221*HJ231</f>
        <v>352.40000000000026</v>
      </c>
      <c r="HK236" s="2431">
        <f>HB221*HK231</f>
        <v>138.39999999999941</v>
      </c>
      <c r="HL236" s="2431">
        <f>SUM(HE221:HF221)*HL231</f>
        <v>270.60000000000008</v>
      </c>
      <c r="HM236" s="2432">
        <f>SUM(HA221:HB221)*HM231</f>
        <v>186.99999999999989</v>
      </c>
      <c r="HN236" s="2431">
        <f>SUM(HE221:HF221,HC221:HD221)</f>
        <v>183.50000000000023</v>
      </c>
      <c r="HO236" s="2431">
        <f>SUM(HA221:HD221)</f>
        <v>141.70000000000013</v>
      </c>
      <c r="HP236" s="2000"/>
    </row>
    <row r="237" spans="202:233" x14ac:dyDescent="0.2">
      <c r="GT237" s="242">
        <f>GT236+1</f>
        <v>2</v>
      </c>
      <c r="GU237" s="1145" t="s">
        <v>944</v>
      </c>
      <c r="GV237" s="1126"/>
      <c r="GW237" s="1145"/>
      <c r="GX237" s="1145"/>
      <c r="GY237" s="1145"/>
      <c r="GZ237" s="1145"/>
      <c r="HA237" s="1145"/>
      <c r="HB237" s="1145"/>
      <c r="HC237" s="1145"/>
      <c r="HD237" s="1145"/>
      <c r="HE237" s="1145"/>
      <c r="HF237" s="1145"/>
      <c r="HG237" s="1145"/>
      <c r="HH237" s="1145"/>
      <c r="HI237" s="1145"/>
      <c r="HJ237" s="2275">
        <f>HF224*HJ231</f>
        <v>9.3685327199999975</v>
      </c>
      <c r="HK237" s="2275">
        <f>HB224*HK231</f>
        <v>5.3608520799999999</v>
      </c>
      <c r="HL237" s="2433">
        <f>SUM(HE224:HF224)*HL231</f>
        <v>8.5765675199999993</v>
      </c>
      <c r="HM237" s="2275">
        <f>SUM(HA224:HB224)*HM231</f>
        <v>5.7047858599999994</v>
      </c>
      <c r="HN237" s="2433">
        <f>SUM(HE224:HF224,HC224:HD224)</f>
        <v>7.6229817099999995</v>
      </c>
      <c r="HO237" s="2275">
        <f>SUM(HA224:HD224)</f>
        <v>6.1870908799999995</v>
      </c>
      <c r="HP237" s="2000"/>
    </row>
    <row r="238" spans="202:233" x14ac:dyDescent="0.2">
      <c r="GT238" s="242">
        <f t="shared" ref="GT238:GT244" si="764">GT237+1</f>
        <v>3</v>
      </c>
      <c r="GU238" s="1146" t="str">
        <f>GU232</f>
        <v>= Resultat före skatt och finansiella kostnader (EXTRAPOL)</v>
      </c>
      <c r="GV238" s="819"/>
      <c r="GW238" s="1146"/>
      <c r="GX238" s="1146"/>
      <c r="GY238" s="1146"/>
      <c r="GZ238" s="1146"/>
      <c r="HA238" s="1146"/>
      <c r="HB238" s="1146"/>
      <c r="HC238" s="1146"/>
      <c r="HD238" s="1146"/>
      <c r="HE238" s="1146"/>
      <c r="HF238" s="1146"/>
      <c r="HG238" s="1146"/>
      <c r="HH238" s="1146"/>
      <c r="HI238" s="1146"/>
      <c r="HJ238" s="2435">
        <f>SUM(HJ236:HJ237)</f>
        <v>361.76853272000028</v>
      </c>
      <c r="HK238" s="2435">
        <f t="shared" ref="HK238:HO238" si="765">SUM(HK236:HK237)</f>
        <v>143.76085207999941</v>
      </c>
      <c r="HL238" s="2435">
        <f t="shared" si="765"/>
        <v>279.17656752000011</v>
      </c>
      <c r="HM238" s="2435">
        <f t="shared" si="765"/>
        <v>192.70478585999987</v>
      </c>
      <c r="HN238" s="2435">
        <f t="shared" si="765"/>
        <v>191.12298171000023</v>
      </c>
      <c r="HO238" s="2435">
        <f t="shared" si="765"/>
        <v>147.88709088000013</v>
      </c>
      <c r="HP238" s="2000"/>
    </row>
    <row r="239" spans="202:233" x14ac:dyDescent="0.2">
      <c r="GT239" s="242">
        <f t="shared" si="764"/>
        <v>4</v>
      </c>
      <c r="GU239" s="2427" t="s">
        <v>181</v>
      </c>
      <c r="GV239" s="396"/>
      <c r="GW239" s="2427"/>
      <c r="GX239" s="2427"/>
      <c r="GY239" s="2427"/>
      <c r="GZ239" s="2427"/>
      <c r="HA239" s="2427"/>
      <c r="HB239" s="2427"/>
      <c r="HC239" s="2427"/>
      <c r="HD239" s="2427"/>
      <c r="HE239" s="2427"/>
      <c r="HF239" s="2427"/>
      <c r="HG239" s="2427"/>
      <c r="HH239" s="2427"/>
      <c r="HJ239" s="2434">
        <f>HJ238-HJ232</f>
        <v>0</v>
      </c>
      <c r="HK239" s="2434">
        <f t="shared" ref="HK239:HO239" si="766">HK238-HK232</f>
        <v>0</v>
      </c>
      <c r="HL239" s="2434">
        <f t="shared" si="766"/>
        <v>0</v>
      </c>
      <c r="HM239" s="2434">
        <f t="shared" si="766"/>
        <v>0</v>
      </c>
      <c r="HN239" s="2434">
        <f t="shared" si="766"/>
        <v>0</v>
      </c>
      <c r="HO239" s="2434">
        <f t="shared" si="766"/>
        <v>0</v>
      </c>
      <c r="HP239" s="2000"/>
    </row>
    <row r="240" spans="202:233" x14ac:dyDescent="0.2">
      <c r="GT240" s="242">
        <f t="shared" si="764"/>
        <v>5</v>
      </c>
      <c r="GU240" s="426" t="s">
        <v>940</v>
      </c>
      <c r="GV240" s="426"/>
      <c r="GW240" s="426"/>
      <c r="GX240" s="426"/>
      <c r="GY240" s="426"/>
      <c r="GZ240" s="426"/>
      <c r="HA240" s="426"/>
      <c r="HB240" s="426"/>
      <c r="HC240" s="426"/>
      <c r="HD240" s="426"/>
      <c r="HE240" s="426"/>
      <c r="HF240" s="426"/>
      <c r="HG240" s="426"/>
      <c r="HH240" s="426"/>
      <c r="HI240" s="426"/>
      <c r="HJ240" s="2431">
        <f>(SUM(HF216:HF216)+SUM(HE216:HE216))/2</f>
        <v>1467.25</v>
      </c>
      <c r="HK240" s="2431">
        <f>(SUM(HB216:HB216)+SUM(HA216:HA216))/2</f>
        <v>1469</v>
      </c>
      <c r="HL240" s="2431">
        <f>(SUM(HF216:HF216)+SUM(HD216:HD216))/2</f>
        <v>1439.3999999999999</v>
      </c>
      <c r="HM240" s="2431">
        <f>(SUM(HB216:HB216)+SUM(GZ216:GZ216))/2</f>
        <v>1415.6</v>
      </c>
      <c r="HN240" s="2431">
        <f>(SUM(HF216:HF216)+SUM(HB216:HB216))/2</f>
        <v>1475.75</v>
      </c>
      <c r="HO240" s="2431">
        <f>(SUM(HD216:HD216)+SUM(GZ216:GZ216))/2</f>
        <v>1379.25</v>
      </c>
      <c r="HP240" s="2000"/>
    </row>
    <row r="241" spans="168:226" x14ac:dyDescent="0.2">
      <c r="FL241" s="263" t="s">
        <v>437</v>
      </c>
      <c r="GT241" s="242">
        <f t="shared" si="764"/>
        <v>6</v>
      </c>
      <c r="GU241" s="426" t="s">
        <v>941</v>
      </c>
      <c r="GV241" s="426"/>
      <c r="GW241" s="426"/>
      <c r="GX241" s="426"/>
      <c r="GY241" s="426"/>
      <c r="GZ241" s="426"/>
      <c r="HA241" s="426"/>
      <c r="HB241" s="426"/>
      <c r="HC241" s="426"/>
      <c r="HD241" s="426"/>
      <c r="HE241" s="426"/>
      <c r="HF241" s="426"/>
      <c r="HG241" s="426"/>
      <c r="HH241" s="426"/>
      <c r="HI241" s="426"/>
      <c r="HJ241" s="2431">
        <f>(SUM(HF217:HF218)+SUM(HE217:HE218))/2</f>
        <v>541.59999999999991</v>
      </c>
      <c r="HK241" s="2431">
        <f>(SUM(HB217:HB218)+SUM(HA217:HA218))/2</f>
        <v>624</v>
      </c>
      <c r="HL241" s="2431">
        <f>(SUM(HF217:HF218)+SUM(HD217:HD218))/2</f>
        <v>507.95</v>
      </c>
      <c r="HM241" s="2431">
        <f>(SUM(HB217:HB218)+SUM(GZ217:GZ218))/2</f>
        <v>590.1</v>
      </c>
      <c r="HN241" s="2431">
        <f>(SUM(HF217:HF218)+SUM(HB217:HB218))/2</f>
        <v>587.90000000000009</v>
      </c>
      <c r="HO241" s="2431">
        <f>(SUM(HD217:HD218)+SUM(GZ217:GZ218))/2</f>
        <v>510.15</v>
      </c>
      <c r="HP241" s="2000"/>
    </row>
    <row r="242" spans="168:226" x14ac:dyDescent="0.2">
      <c r="GT242" s="242">
        <f t="shared" si="764"/>
        <v>7</v>
      </c>
      <c r="GU242" s="426" t="s">
        <v>942</v>
      </c>
      <c r="GV242" s="426"/>
      <c r="GW242" s="426"/>
      <c r="GX242" s="426"/>
      <c r="GY242" s="426"/>
      <c r="GZ242" s="426"/>
      <c r="HA242" s="426"/>
      <c r="HB242" s="426"/>
      <c r="HC242" s="426"/>
      <c r="HD242" s="426"/>
      <c r="HE242" s="426"/>
      <c r="HF242" s="426"/>
      <c r="HG242" s="426"/>
      <c r="HH242" s="426"/>
      <c r="HI242" s="426"/>
      <c r="HJ242" s="2431">
        <f>HJ240-HJ241</f>
        <v>925.65000000000009</v>
      </c>
      <c r="HK242" s="2431">
        <f t="shared" ref="HK242:HO242" si="767">HK240-HK241</f>
        <v>845</v>
      </c>
      <c r="HL242" s="2431">
        <f t="shared" si="767"/>
        <v>931.44999999999982</v>
      </c>
      <c r="HM242" s="2431">
        <f t="shared" si="767"/>
        <v>825.49999999999989</v>
      </c>
      <c r="HN242" s="2431">
        <f t="shared" si="767"/>
        <v>887.84999999999991</v>
      </c>
      <c r="HO242" s="2431">
        <f t="shared" si="767"/>
        <v>869.1</v>
      </c>
      <c r="HP242" s="2000"/>
    </row>
    <row r="243" spans="168:226" x14ac:dyDescent="0.2">
      <c r="GT243" s="242">
        <f t="shared" si="764"/>
        <v>8</v>
      </c>
      <c r="GU243" s="2427" t="s">
        <v>181</v>
      </c>
      <c r="GV243" s="396"/>
      <c r="GW243" s="2427"/>
      <c r="GX243" s="2427"/>
      <c r="GY243" s="2427"/>
      <c r="GZ243" s="2427"/>
      <c r="HA243" s="2427"/>
      <c r="HB243" s="2427"/>
      <c r="HC243" s="2427"/>
      <c r="HD243" s="2427"/>
      <c r="HE243" s="2427"/>
      <c r="HF243" s="2427"/>
      <c r="HG243" s="2427"/>
      <c r="HH243" s="2427"/>
      <c r="HI243" s="396"/>
      <c r="HJ243" s="2434">
        <f t="shared" ref="HJ243" si="768">HJ242-HJ233</f>
        <v>0</v>
      </c>
      <c r="HK243" s="2434">
        <f t="shared" ref="HK243" si="769">HK242-HK233</f>
        <v>0</v>
      </c>
      <c r="HL243" s="2434">
        <f t="shared" ref="HL243" si="770">HL242-HL233</f>
        <v>0</v>
      </c>
      <c r="HM243" s="2434">
        <f t="shared" ref="HM243" si="771">HM242-HM233</f>
        <v>0</v>
      </c>
      <c r="HN243" s="2434">
        <f t="shared" ref="HN243" si="772">HN242-HN233</f>
        <v>0</v>
      </c>
      <c r="HO243" s="2434">
        <f t="shared" ref="HO243" si="773">HO242-HO233</f>
        <v>0</v>
      </c>
      <c r="HP243" s="2000"/>
    </row>
    <row r="244" spans="168:226" x14ac:dyDescent="0.2">
      <c r="GT244" s="242">
        <f t="shared" si="764"/>
        <v>9</v>
      </c>
      <c r="GU244" s="396" t="s">
        <v>939</v>
      </c>
      <c r="GV244" s="396"/>
      <c r="GW244" s="396"/>
      <c r="GX244" s="396"/>
      <c r="GY244" s="396"/>
      <c r="GZ244" s="396"/>
      <c r="HA244" s="396"/>
      <c r="HB244" s="396"/>
      <c r="HC244" s="396"/>
      <c r="HD244" s="396"/>
      <c r="HE244" s="396"/>
      <c r="HF244" s="396"/>
      <c r="HG244" s="396"/>
      <c r="HH244" s="396"/>
      <c r="HI244" s="396"/>
      <c r="HJ244" s="1044">
        <f>(SUM(HF189:HF189)+SUM(HE189:HE189))/2</f>
        <v>1.4794873278343785</v>
      </c>
      <c r="HK244" s="1044">
        <f>(SUM(HB189:HB189)+SUM(HA189:HA189))/2</f>
        <v>1.6511653879326533</v>
      </c>
      <c r="HL244" s="1044">
        <f>(SUM(HF189:HF189)+SUM(HD189:HD189))/2</f>
        <v>1.4776957436141718</v>
      </c>
      <c r="HM244" s="1044">
        <f>(SUM(HB189:HB189)+SUM(GZ189:GZ189))/2</f>
        <v>0.83391466394004254</v>
      </c>
      <c r="HN244" s="1044">
        <f>(SUM(HF189:HF189)+SUM(HB189:HB189))/2</f>
        <v>1.593334666107515</v>
      </c>
      <c r="HO244" s="1044">
        <f>(SUM(HD189:HD189)+SUM(GZ189:GZ189))/2</f>
        <v>0.71827574144669937</v>
      </c>
      <c r="HP244" s="2000"/>
    </row>
    <row r="245" spans="168:226" x14ac:dyDescent="0.2">
      <c r="GV245" s="396"/>
      <c r="GW245" s="242"/>
      <c r="GX245" s="242"/>
      <c r="GY245" s="242"/>
      <c r="GZ245" s="242"/>
      <c r="HA245" s="242"/>
      <c r="HB245" s="242"/>
      <c r="HC245" s="242"/>
      <c r="HD245" s="242"/>
      <c r="HE245" s="242"/>
      <c r="HF245" s="242"/>
      <c r="HG245" s="242"/>
      <c r="HH245" s="242"/>
      <c r="HP245" s="2000"/>
    </row>
    <row r="246" spans="168:226" x14ac:dyDescent="0.2">
      <c r="GU246" s="256"/>
      <c r="GV246" s="396"/>
      <c r="GW246" s="214">
        <f t="shared" ref="GW246:HH246" si="774">GW$28</f>
        <v>2403</v>
      </c>
      <c r="GX246" s="214">
        <f t="shared" si="774"/>
        <v>2406</v>
      </c>
      <c r="GY246" s="214">
        <f t="shared" si="774"/>
        <v>2409</v>
      </c>
      <c r="GZ246" s="214">
        <f t="shared" si="774"/>
        <v>2412</v>
      </c>
      <c r="HA246" s="214">
        <f t="shared" si="774"/>
        <v>2503</v>
      </c>
      <c r="HB246" s="214">
        <f t="shared" si="774"/>
        <v>2506</v>
      </c>
      <c r="HC246" s="214">
        <f t="shared" si="774"/>
        <v>2509</v>
      </c>
      <c r="HD246" s="214">
        <f t="shared" si="774"/>
        <v>2512</v>
      </c>
      <c r="HE246" s="214">
        <f t="shared" si="774"/>
        <v>2603</v>
      </c>
      <c r="HF246" s="214">
        <f t="shared" si="774"/>
        <v>2606</v>
      </c>
      <c r="HG246" s="214">
        <f t="shared" si="774"/>
        <v>2609</v>
      </c>
      <c r="HH246" s="214">
        <f t="shared" si="774"/>
        <v>2612</v>
      </c>
      <c r="HJ246" s="214" t="str">
        <f t="shared" ref="HJ246:HO246" si="775">HJ$10</f>
        <v>Kvartal 2</v>
      </c>
      <c r="HK246" s="214" t="str">
        <f t="shared" si="775"/>
        <v>Kvartal 2</v>
      </c>
      <c r="HL246" s="214" t="str">
        <f t="shared" si="775"/>
        <v>Kvartal 1-2</v>
      </c>
      <c r="HM246" s="214" t="str">
        <f t="shared" si="775"/>
        <v>Kvartal 1-2</v>
      </c>
      <c r="HN246" s="214" t="str">
        <f t="shared" si="775"/>
        <v>Kvartal 2, R12</v>
      </c>
      <c r="HO246" s="214" t="str">
        <f t="shared" si="775"/>
        <v>Helår</v>
      </c>
      <c r="HP246" s="2007"/>
    </row>
    <row r="247" spans="168:226" x14ac:dyDescent="0.2">
      <c r="FL247" s="263" t="s">
        <v>438</v>
      </c>
      <c r="GU247" s="1581"/>
      <c r="GV247" s="396"/>
      <c r="GW247" s="1124"/>
      <c r="GX247" s="1124"/>
      <c r="GY247" s="1124"/>
      <c r="GZ247" s="1124"/>
      <c r="HA247" s="1124"/>
      <c r="HB247" s="1124"/>
      <c r="HC247" s="1124"/>
      <c r="HD247" s="1124"/>
      <c r="HE247" s="1124"/>
      <c r="HF247" s="1124"/>
      <c r="HG247" s="1124"/>
      <c r="HH247" s="1124"/>
      <c r="HJ247" s="1124">
        <f t="shared" ref="HJ247:HO247" si="776">HJ$11</f>
        <v>2026</v>
      </c>
      <c r="HK247" s="1124">
        <f t="shared" si="776"/>
        <v>2025</v>
      </c>
      <c r="HL247" s="1124">
        <f t="shared" si="776"/>
        <v>2026</v>
      </c>
      <c r="HM247" s="1124">
        <f t="shared" si="776"/>
        <v>2025</v>
      </c>
      <c r="HN247" s="1124">
        <f t="shared" si="776"/>
        <v>2026</v>
      </c>
      <c r="HO247" s="1124">
        <f t="shared" si="776"/>
        <v>2025</v>
      </c>
      <c r="HP247" s="2007"/>
    </row>
    <row r="248" spans="168:226" x14ac:dyDescent="0.2">
      <c r="GU248" s="264" t="s">
        <v>763</v>
      </c>
      <c r="GV248" s="396"/>
      <c r="GW248" s="2090">
        <f t="shared" ref="GW248:HH248" si="777">T35</f>
        <v>27.500000000000043</v>
      </c>
      <c r="GX248" s="2090">
        <f t="shared" si="777"/>
        <v>41.600000000000051</v>
      </c>
      <c r="GY248" s="2090">
        <f t="shared" si="777"/>
        <v>18.799999999999816</v>
      </c>
      <c r="GZ248" s="2090">
        <f t="shared" si="777"/>
        <v>12.20000000000023</v>
      </c>
      <c r="HA248" s="2090">
        <f t="shared" si="777"/>
        <v>43.400000000000105</v>
      </c>
      <c r="HB248" s="2090">
        <f t="shared" si="777"/>
        <v>18.099999999999856</v>
      </c>
      <c r="HC248" s="2090">
        <f t="shared" si="777"/>
        <v>17.700000000000092</v>
      </c>
      <c r="HD248" s="2090">
        <f t="shared" si="777"/>
        <v>-1.0999999999999055</v>
      </c>
      <c r="HE248" s="2090">
        <f t="shared" si="777"/>
        <v>33.999999999999986</v>
      </c>
      <c r="HF248" s="2090">
        <f t="shared" si="777"/>
        <v>70.000000000000071</v>
      </c>
      <c r="HG248" s="2090">
        <f t="shared" si="777"/>
        <v>-24.800000000000047</v>
      </c>
      <c r="HH248" s="2090">
        <f t="shared" si="777"/>
        <v>-1.0999999999999055</v>
      </c>
      <c r="HJ248" s="2287">
        <f>HF248</f>
        <v>70.000000000000071</v>
      </c>
      <c r="HK248" s="2287">
        <f>HB248</f>
        <v>18.099999999999856</v>
      </c>
      <c r="HL248" s="2288"/>
      <c r="HM248" s="2288"/>
      <c r="HN248" s="2288"/>
      <c r="HO248" s="2288"/>
      <c r="HP248" s="2000"/>
    </row>
    <row r="249" spans="168:226" x14ac:dyDescent="0.2">
      <c r="GU249" s="264" t="s">
        <v>762</v>
      </c>
      <c r="GV249" s="396"/>
      <c r="GW249" s="2090">
        <f t="shared" ref="GW249:HH249" si="778">G35</f>
        <v>27.500000000000043</v>
      </c>
      <c r="GX249" s="2090">
        <f t="shared" si="778"/>
        <v>69.100000000000094</v>
      </c>
      <c r="GY249" s="2090">
        <f t="shared" si="778"/>
        <v>87.899999999999906</v>
      </c>
      <c r="GZ249" s="2090">
        <f t="shared" si="778"/>
        <v>100.10000000000015</v>
      </c>
      <c r="HA249" s="2090">
        <f t="shared" si="778"/>
        <v>43.40000000000007</v>
      </c>
      <c r="HB249" s="2090">
        <f t="shared" si="778"/>
        <v>61.499999999999915</v>
      </c>
      <c r="HC249" s="2090">
        <f t="shared" si="778"/>
        <v>79.200000000000017</v>
      </c>
      <c r="HD249" s="2090">
        <f t="shared" si="778"/>
        <v>78.100000000000108</v>
      </c>
      <c r="HE249" s="2090">
        <f t="shared" si="778"/>
        <v>33.999999999999986</v>
      </c>
      <c r="HF249" s="2090">
        <f t="shared" si="778"/>
        <v>104.00000000000004</v>
      </c>
      <c r="HG249" s="2090">
        <f t="shared" si="778"/>
        <v>79.200000000000017</v>
      </c>
      <c r="HH249" s="2090">
        <f t="shared" si="778"/>
        <v>78.100000000000108</v>
      </c>
      <c r="HJ249" s="2287">
        <f>HF249</f>
        <v>104.00000000000004</v>
      </c>
      <c r="HK249" s="2287">
        <f>HB249</f>
        <v>61.499999999999915</v>
      </c>
      <c r="HL249" s="2288"/>
      <c r="HM249" s="2288"/>
      <c r="HN249" s="2288"/>
      <c r="HO249" s="2288"/>
      <c r="HP249" s="2000"/>
    </row>
    <row r="250" spans="168:226" x14ac:dyDescent="0.2">
      <c r="GU250" s="264"/>
      <c r="GV250" s="396"/>
      <c r="GW250" s="2090"/>
      <c r="GX250" s="2090"/>
      <c r="GY250" s="2090"/>
      <c r="GZ250" s="2090"/>
      <c r="HA250" s="2090"/>
      <c r="HB250" s="2090"/>
      <c r="HC250" s="2090"/>
      <c r="HD250" s="2090"/>
      <c r="HE250" s="2090"/>
      <c r="HF250" s="2090"/>
      <c r="HG250" s="2090"/>
      <c r="HH250" s="2090"/>
      <c r="HJ250" s="2287"/>
      <c r="HK250" s="2287"/>
      <c r="HL250" s="2289"/>
      <c r="HM250" s="2289"/>
      <c r="HN250" s="2288"/>
      <c r="HO250" s="2288"/>
      <c r="HP250" s="2000"/>
    </row>
    <row r="251" spans="168:226" x14ac:dyDescent="0.2">
      <c r="GU251" s="2277" t="s">
        <v>764</v>
      </c>
      <c r="GV251" s="396"/>
      <c r="GW251" s="2288">
        <f>GW249</f>
        <v>27.500000000000043</v>
      </c>
      <c r="GX251" s="2288">
        <f t="shared" ref="GX251:HH251" si="779">GX249</f>
        <v>69.100000000000094</v>
      </c>
      <c r="GY251" s="2288">
        <f t="shared" si="779"/>
        <v>87.899999999999906</v>
      </c>
      <c r="GZ251" s="2288">
        <f t="shared" si="779"/>
        <v>100.10000000000015</v>
      </c>
      <c r="HA251" s="2288">
        <f t="shared" si="779"/>
        <v>43.40000000000007</v>
      </c>
      <c r="HB251" s="2288">
        <f t="shared" si="779"/>
        <v>61.499999999999915</v>
      </c>
      <c r="HC251" s="2288">
        <f t="shared" si="779"/>
        <v>79.200000000000017</v>
      </c>
      <c r="HD251" s="2288">
        <f t="shared" si="779"/>
        <v>78.100000000000108</v>
      </c>
      <c r="HE251" s="2288">
        <f t="shared" si="779"/>
        <v>33.999999999999986</v>
      </c>
      <c r="HF251" s="2288">
        <f>HF249</f>
        <v>104.00000000000004</v>
      </c>
      <c r="HG251" s="2288">
        <f t="shared" si="779"/>
        <v>79.200000000000017</v>
      </c>
      <c r="HH251" s="2288">
        <f t="shared" si="779"/>
        <v>78.100000000000108</v>
      </c>
      <c r="HJ251" s="2290">
        <f>HJ248</f>
        <v>70.000000000000071</v>
      </c>
      <c r="HK251" s="2290">
        <f>HK248</f>
        <v>18.099999999999856</v>
      </c>
      <c r="HL251" s="2288"/>
      <c r="HM251" s="2288"/>
      <c r="HN251" s="2288"/>
      <c r="HO251" s="2288"/>
      <c r="HP251" s="2000"/>
    </row>
    <row r="252" spans="168:226" x14ac:dyDescent="0.2">
      <c r="GU252" s="2282" t="s">
        <v>754</v>
      </c>
      <c r="GV252" s="396"/>
      <c r="GW252" s="2283">
        <v>4</v>
      </c>
      <c r="GX252" s="2283">
        <v>2</v>
      </c>
      <c r="GY252" s="2283">
        <v>1.3333299999999999</v>
      </c>
      <c r="GZ252" s="2283">
        <v>1</v>
      </c>
      <c r="HA252" s="2283">
        <f>GW252</f>
        <v>4</v>
      </c>
      <c r="HB252" s="2283">
        <f t="shared" ref="HB252" si="780">GX252</f>
        <v>2</v>
      </c>
      <c r="HC252" s="2283">
        <f t="shared" ref="HC252" si="781">GY252</f>
        <v>1.3333299999999999</v>
      </c>
      <c r="HD252" s="2283">
        <f t="shared" ref="HD252" si="782">GZ252</f>
        <v>1</v>
      </c>
      <c r="HE252" s="2283">
        <f t="shared" ref="HE252" si="783">HA252</f>
        <v>4</v>
      </c>
      <c r="HF252" s="2283">
        <f t="shared" ref="HF252" si="784">HB252</f>
        <v>2</v>
      </c>
      <c r="HG252" s="2283">
        <f t="shared" ref="HG252" si="785">HC252</f>
        <v>1.3333299999999999</v>
      </c>
      <c r="HH252" s="2283">
        <f t="shared" ref="HH252" si="786">HD252</f>
        <v>1</v>
      </c>
      <c r="HJ252" s="2291">
        <v>4</v>
      </c>
      <c r="HK252" s="2291">
        <v>4</v>
      </c>
      <c r="HL252" s="2283"/>
      <c r="HM252" s="2283"/>
      <c r="HN252" s="2288"/>
      <c r="HO252" s="2288"/>
      <c r="HP252" s="2000"/>
    </row>
    <row r="253" spans="168:226" ht="12" thickBot="1" x14ac:dyDescent="0.25">
      <c r="GU253" s="2284" t="s">
        <v>782</v>
      </c>
      <c r="GV253" s="396"/>
      <c r="GW253" s="2285">
        <f>GW251*GW252</f>
        <v>110.00000000000017</v>
      </c>
      <c r="GX253" s="2285">
        <f t="shared" ref="GX253:HK253" si="787">GX251*GX252</f>
        <v>138.20000000000019</v>
      </c>
      <c r="GY253" s="2285">
        <f t="shared" si="787"/>
        <v>117.19970699999986</v>
      </c>
      <c r="GZ253" s="2285">
        <f t="shared" si="787"/>
        <v>100.10000000000015</v>
      </c>
      <c r="HA253" s="2285">
        <f t="shared" si="787"/>
        <v>173.60000000000028</v>
      </c>
      <c r="HB253" s="2285">
        <f t="shared" si="787"/>
        <v>122.99999999999983</v>
      </c>
      <c r="HC253" s="2285">
        <f t="shared" si="787"/>
        <v>105.59973600000002</v>
      </c>
      <c r="HD253" s="2285">
        <f t="shared" si="787"/>
        <v>78.100000000000108</v>
      </c>
      <c r="HE253" s="2285">
        <f t="shared" si="787"/>
        <v>135.99999999999994</v>
      </c>
      <c r="HF253" s="2285">
        <f>HF251*HF252</f>
        <v>208.00000000000009</v>
      </c>
      <c r="HG253" s="2285">
        <f t="shared" si="787"/>
        <v>105.59973600000002</v>
      </c>
      <c r="HH253" s="2285">
        <f t="shared" si="787"/>
        <v>78.100000000000108</v>
      </c>
      <c r="HJ253" s="2285">
        <f t="shared" si="787"/>
        <v>280.00000000000028</v>
      </c>
      <c r="HK253" s="2285">
        <f t="shared" si="787"/>
        <v>72.399999999999423</v>
      </c>
      <c r="HL253" s="2285"/>
      <c r="HM253" s="2285"/>
      <c r="HN253" s="2285">
        <f>HF249+SUM(HC248:HD248)</f>
        <v>120.60000000000022</v>
      </c>
      <c r="HO253" s="2285">
        <f>SUM(HD249)</f>
        <v>78.100000000000108</v>
      </c>
      <c r="HP253" s="2000"/>
    </row>
    <row r="254" spans="168:226" ht="12" thickTop="1" x14ac:dyDescent="0.2">
      <c r="GU254" s="1146" t="s">
        <v>783</v>
      </c>
      <c r="GV254" s="396"/>
      <c r="GW254" s="1143"/>
      <c r="GX254" s="1143"/>
      <c r="GY254" s="1143"/>
      <c r="GZ254" s="1143"/>
      <c r="HA254" s="1143">
        <f>(HA211+$GZ211)/2</f>
        <v>698.2</v>
      </c>
      <c r="HB254" s="1143">
        <f>(HB211+$GZ211)/2</f>
        <v>685.59999999999991</v>
      </c>
      <c r="HC254" s="1143">
        <f>(HC211+$GZ211)/2</f>
        <v>694.8</v>
      </c>
      <c r="HD254" s="1143">
        <f>(HD211+$GZ211)/2</f>
        <v>694.55</v>
      </c>
      <c r="HE254" s="1143">
        <f>(HE211+$HD211)/2</f>
        <v>726.05</v>
      </c>
      <c r="HF254" s="1143">
        <f>(HF211+$HD211)/2</f>
        <v>760.15</v>
      </c>
      <c r="HG254" s="1143">
        <f>(HG211+$HD211)/2</f>
        <v>357.4</v>
      </c>
      <c r="HH254" s="1143">
        <f>(HH211+$HD211)/2</f>
        <v>357.4</v>
      </c>
      <c r="HJ254" s="2287">
        <f>(HF211+$HE211)/2</f>
        <v>771.4</v>
      </c>
      <c r="HK254" s="2287">
        <f>(HB211+$HA211)/2</f>
        <v>709.5</v>
      </c>
      <c r="HL254" s="1143">
        <f>HF254</f>
        <v>760.15</v>
      </c>
      <c r="HM254" s="1143">
        <f>HB254</f>
        <v>685.59999999999991</v>
      </c>
      <c r="HN254" s="1143">
        <f>(HF211+HB211)/2</f>
        <v>751.2</v>
      </c>
      <c r="HO254" s="1143">
        <f>(HD211+GZ211)/2</f>
        <v>694.55</v>
      </c>
      <c r="HP254" s="2000" t="s">
        <v>761</v>
      </c>
    </row>
    <row r="255" spans="168:226" x14ac:dyDescent="0.2">
      <c r="FL255" s="1283" t="s">
        <v>440</v>
      </c>
      <c r="GU255" s="2286" t="s">
        <v>784</v>
      </c>
      <c r="GV255" s="396"/>
      <c r="GW255" s="1144" t="e">
        <f>GW253/GW254</f>
        <v>#DIV/0!</v>
      </c>
      <c r="GX255" s="1144" t="e">
        <f t="shared" ref="GX255" si="788">GX253/GX254</f>
        <v>#DIV/0!</v>
      </c>
      <c r="GY255" s="1144" t="e">
        <f t="shared" ref="GY255" si="789">GY253/GY254</f>
        <v>#DIV/0!</v>
      </c>
      <c r="GZ255" s="1144" t="e">
        <f t="shared" ref="GZ255" si="790">GZ253/GZ254</f>
        <v>#DIV/0!</v>
      </c>
      <c r="HA255" s="1144">
        <f t="shared" ref="HA255" si="791">HA253/HA254</f>
        <v>0.24863935835004336</v>
      </c>
      <c r="HB255" s="1144">
        <f t="shared" ref="HB255" si="792">HB253/HB254</f>
        <v>0.17940490081680258</v>
      </c>
      <c r="HC255" s="1144">
        <f t="shared" ref="HC255" si="793">HC253/HC254</f>
        <v>0.15198580310880833</v>
      </c>
      <c r="HD255" s="1144">
        <f t="shared" ref="HD255" si="794">HD253/HD254</f>
        <v>0.11244690806997353</v>
      </c>
      <c r="HE255" s="1144">
        <f t="shared" ref="HE255" si="795">HE253/HE254</f>
        <v>0.18731492321465457</v>
      </c>
      <c r="HF255" s="1144">
        <f>HF253/HF254</f>
        <v>0.27363020456488862</v>
      </c>
      <c r="HG255" s="1144">
        <f t="shared" ref="HG255" si="796">HG253/HG254</f>
        <v>0.29546652490207059</v>
      </c>
      <c r="HH255" s="1144">
        <f t="shared" ref="HH255:HK255" si="797">HH253/HH254</f>
        <v>0.21852266368214918</v>
      </c>
      <c r="HJ255" s="1144">
        <f>HJ253/HJ254</f>
        <v>0.36297640653357571</v>
      </c>
      <c r="HK255" s="1144">
        <f t="shared" si="797"/>
        <v>0.10204369274136635</v>
      </c>
      <c r="HL255" s="1144">
        <f>HF255</f>
        <v>0.27363020456488862</v>
      </c>
      <c r="HM255" s="1144">
        <f>HB255</f>
        <v>0.17940490081680258</v>
      </c>
      <c r="HN255" s="1144">
        <f t="shared" ref="HN255:HO255" si="798">HN253/HN254</f>
        <v>0.16054313099041562</v>
      </c>
      <c r="HO255" s="1144">
        <f t="shared" si="798"/>
        <v>0.11244690806997353</v>
      </c>
      <c r="HP255" s="2000"/>
    </row>
    <row r="256" spans="168:226" x14ac:dyDescent="0.2">
      <c r="GV256" s="396"/>
      <c r="GW256" s="242"/>
      <c r="GX256" s="242"/>
      <c r="GY256" s="242"/>
      <c r="GZ256" s="242"/>
      <c r="HA256" s="242"/>
      <c r="HB256" s="242"/>
      <c r="HC256" s="242"/>
      <c r="HD256" s="242"/>
      <c r="HE256" s="242"/>
      <c r="HF256" s="242"/>
      <c r="HG256" s="242"/>
      <c r="HH256" s="242"/>
      <c r="HP256" s="2000"/>
      <c r="HR256" s="443"/>
    </row>
    <row r="257" spans="168:226" x14ac:dyDescent="0.2">
      <c r="FL257" s="1283" t="s">
        <v>441</v>
      </c>
      <c r="GU257" s="256"/>
      <c r="GV257" s="396"/>
      <c r="GW257" s="214">
        <f t="shared" ref="GW257:HH257" si="799">GW$28</f>
        <v>2403</v>
      </c>
      <c r="GX257" s="214">
        <f t="shared" si="799"/>
        <v>2406</v>
      </c>
      <c r="GY257" s="214">
        <f t="shared" si="799"/>
        <v>2409</v>
      </c>
      <c r="GZ257" s="214">
        <f t="shared" si="799"/>
        <v>2412</v>
      </c>
      <c r="HA257" s="214">
        <f t="shared" si="799"/>
        <v>2503</v>
      </c>
      <c r="HB257" s="214">
        <f t="shared" si="799"/>
        <v>2506</v>
      </c>
      <c r="HC257" s="214">
        <f t="shared" si="799"/>
        <v>2509</v>
      </c>
      <c r="HD257" s="214">
        <f t="shared" si="799"/>
        <v>2512</v>
      </c>
      <c r="HE257" s="214">
        <f t="shared" si="799"/>
        <v>2603</v>
      </c>
      <c r="HF257" s="214">
        <f t="shared" si="799"/>
        <v>2606</v>
      </c>
      <c r="HG257" s="214">
        <f t="shared" si="799"/>
        <v>2609</v>
      </c>
      <c r="HH257" s="214">
        <f t="shared" si="799"/>
        <v>2612</v>
      </c>
      <c r="HJ257" s="214" t="str">
        <f t="shared" ref="HJ257:HO257" si="800">HJ$10</f>
        <v>Kvartal 2</v>
      </c>
      <c r="HK257" s="214" t="str">
        <f t="shared" si="800"/>
        <v>Kvartal 2</v>
      </c>
      <c r="HL257" s="214" t="str">
        <f t="shared" si="800"/>
        <v>Kvartal 1-2</v>
      </c>
      <c r="HM257" s="214" t="str">
        <f t="shared" si="800"/>
        <v>Kvartal 1-2</v>
      </c>
      <c r="HN257" s="214" t="str">
        <f t="shared" si="800"/>
        <v>Kvartal 2, R12</v>
      </c>
      <c r="HO257" s="214" t="str">
        <f t="shared" si="800"/>
        <v>Helår</v>
      </c>
      <c r="HP257" s="2007"/>
      <c r="HR257" s="443"/>
    </row>
    <row r="258" spans="168:226" x14ac:dyDescent="0.2">
      <c r="GU258" s="1581"/>
      <c r="GV258" s="396"/>
      <c r="GW258" s="1124"/>
      <c r="GX258" s="1124"/>
      <c r="GY258" s="1124"/>
      <c r="GZ258" s="1124"/>
      <c r="HA258" s="1124"/>
      <c r="HB258" s="1124"/>
      <c r="HC258" s="1124"/>
      <c r="HD258" s="1124"/>
      <c r="HE258" s="1124"/>
      <c r="HF258" s="1124"/>
      <c r="HG258" s="1124"/>
      <c r="HH258" s="1124"/>
      <c r="HJ258" s="1124">
        <f t="shared" ref="HJ258:HO258" si="801">HJ$11</f>
        <v>2026</v>
      </c>
      <c r="HK258" s="1124">
        <f t="shared" si="801"/>
        <v>2025</v>
      </c>
      <c r="HL258" s="1124">
        <f t="shared" si="801"/>
        <v>2026</v>
      </c>
      <c r="HM258" s="1124">
        <f t="shared" si="801"/>
        <v>2025</v>
      </c>
      <c r="HN258" s="1124">
        <f t="shared" si="801"/>
        <v>2026</v>
      </c>
      <c r="HO258" s="1124">
        <f t="shared" si="801"/>
        <v>2025</v>
      </c>
      <c r="HP258" s="2007"/>
      <c r="HR258" s="443"/>
    </row>
    <row r="259" spans="168:226" x14ac:dyDescent="0.2">
      <c r="GU259" s="2292" t="s">
        <v>429</v>
      </c>
      <c r="GV259" s="396"/>
      <c r="GW259" s="2090">
        <f>'Koncern BR'!H32</f>
        <v>641.79999999999995</v>
      </c>
      <c r="GX259" s="2090">
        <f>'Koncern BR'!I32</f>
        <v>648.9</v>
      </c>
      <c r="GY259" s="2090">
        <f>'Koncern BR'!J32</f>
        <v>665.6</v>
      </c>
      <c r="GZ259" s="2090">
        <f>'Koncern BR'!K32</f>
        <v>674.3</v>
      </c>
      <c r="HA259" s="2090">
        <f>'Koncern BR'!L32</f>
        <v>722.1</v>
      </c>
      <c r="HB259" s="2090">
        <f>'Koncern BR'!M32</f>
        <v>696.9</v>
      </c>
      <c r="HC259" s="2090">
        <f>'Koncern BR'!N32</f>
        <v>715.3</v>
      </c>
      <c r="HD259" s="2090">
        <f>'Koncern BR'!O32</f>
        <v>714.8</v>
      </c>
      <c r="HE259" s="2090">
        <f>'Koncern BR'!P32</f>
        <v>737.3</v>
      </c>
      <c r="HF259" s="2090">
        <f>'Koncern BR'!Q32</f>
        <v>805.5</v>
      </c>
      <c r="HG259" s="2090">
        <f>'Koncern BR'!R32</f>
        <v>0</v>
      </c>
      <c r="HH259" s="2090">
        <f>'Koncern BR'!S32</f>
        <v>0</v>
      </c>
      <c r="HJ259" s="2274">
        <f>HF259</f>
        <v>805.5</v>
      </c>
      <c r="HK259" s="2274">
        <f>HB259</f>
        <v>696.9</v>
      </c>
      <c r="HL259" s="2274">
        <f>HF259</f>
        <v>805.5</v>
      </c>
      <c r="HM259" s="2274">
        <f>HB259</f>
        <v>696.9</v>
      </c>
      <c r="HN259" s="2274">
        <f>HF259</f>
        <v>805.5</v>
      </c>
      <c r="HO259" s="2274">
        <f>HD259</f>
        <v>714.8</v>
      </c>
      <c r="HP259" s="2000"/>
    </row>
    <row r="260" spans="168:226" x14ac:dyDescent="0.2">
      <c r="GU260" s="2292" t="s">
        <v>430</v>
      </c>
      <c r="GV260" s="396"/>
      <c r="GW260" s="2090">
        <f>'Koncern BR'!H36</f>
        <v>87.7</v>
      </c>
      <c r="GX260" s="2090">
        <f>'Koncern BR'!I36</f>
        <v>88.3</v>
      </c>
      <c r="GY260" s="2090">
        <f>'Koncern BR'!J36</f>
        <v>89.5</v>
      </c>
      <c r="GZ260" s="2090">
        <f>'Koncern BR'!K36</f>
        <v>93.5</v>
      </c>
      <c r="HA260" s="2090">
        <f>'Koncern BR'!L36</f>
        <v>95.3</v>
      </c>
      <c r="HB260" s="2090">
        <f>'Koncern BR'!M36</f>
        <v>92.7</v>
      </c>
      <c r="HC260" s="2090">
        <f>'Koncern BR'!N36</f>
        <v>93.8</v>
      </c>
      <c r="HD260" s="2090">
        <f>'Koncern BR'!O36</f>
        <v>96.7</v>
      </c>
      <c r="HE260" s="2090">
        <f>'Koncern BR'!P36</f>
        <v>95.1</v>
      </c>
      <c r="HF260" s="2090">
        <f>'Koncern BR'!Q36</f>
        <v>97.5</v>
      </c>
      <c r="HG260" s="2090">
        <f>'Koncern BR'!R36</f>
        <v>0</v>
      </c>
      <c r="HH260" s="2090">
        <f>'Koncern BR'!S36</f>
        <v>0</v>
      </c>
      <c r="HJ260" s="2274">
        <f>HF260</f>
        <v>97.5</v>
      </c>
      <c r="HK260" s="2274">
        <f>HB260</f>
        <v>92.7</v>
      </c>
      <c r="HL260" s="2274">
        <f>HF260</f>
        <v>97.5</v>
      </c>
      <c r="HM260" s="2274">
        <f>HB260</f>
        <v>92.7</v>
      </c>
      <c r="HN260" s="2274">
        <f>HF260</f>
        <v>97.5</v>
      </c>
      <c r="HO260" s="2274">
        <f>HD260</f>
        <v>96.7</v>
      </c>
      <c r="HP260" s="2000"/>
      <c r="HQ260" s="443"/>
    </row>
    <row r="261" spans="168:226" x14ac:dyDescent="0.2">
      <c r="GU261" s="2293" t="s">
        <v>36</v>
      </c>
      <c r="GV261" s="396"/>
      <c r="GW261" s="2091">
        <f>'Koncern BR'!H41</f>
        <v>1492</v>
      </c>
      <c r="GX261" s="2091">
        <f>'Koncern BR'!I41</f>
        <v>1490.5</v>
      </c>
      <c r="GY261" s="2091">
        <f>'Koncern BR'!J41</f>
        <v>1417.6999999999998</v>
      </c>
      <c r="GZ261" s="2091">
        <f>'Koncern BR'!K41</f>
        <v>1357.8999999999999</v>
      </c>
      <c r="HA261" s="2091">
        <f>'Koncern BR'!L41</f>
        <v>1464.6999999999998</v>
      </c>
      <c r="HB261" s="2091">
        <f>'Koncern BR'!M41</f>
        <v>1473.3</v>
      </c>
      <c r="HC261" s="2091">
        <f>'Koncern BR'!N41</f>
        <v>1467.8</v>
      </c>
      <c r="HD261" s="2091">
        <f>'Koncern BR'!O41</f>
        <v>1400.6</v>
      </c>
      <c r="HE261" s="2091">
        <f>'Koncern BR'!P41</f>
        <v>1456.3</v>
      </c>
      <c r="HF261" s="2091">
        <f>'Koncern BR'!Q41</f>
        <v>1478.1999999999998</v>
      </c>
      <c r="HG261" s="2091">
        <f>'Koncern BR'!R41</f>
        <v>0</v>
      </c>
      <c r="HH261" s="2091">
        <f>'Koncern BR'!S41</f>
        <v>0</v>
      </c>
      <c r="HJ261" s="2294">
        <f>HF261</f>
        <v>1478.1999999999998</v>
      </c>
      <c r="HK261" s="2294">
        <f>HB261</f>
        <v>1473.3</v>
      </c>
      <c r="HL261" s="2294">
        <f>HF261</f>
        <v>1478.1999999999998</v>
      </c>
      <c r="HM261" s="2294">
        <f>HB261</f>
        <v>1473.3</v>
      </c>
      <c r="HN261" s="2294">
        <f>HF261</f>
        <v>1478.1999999999998</v>
      </c>
      <c r="HO261" s="2294">
        <f>HD261</f>
        <v>1400.6</v>
      </c>
      <c r="HP261" s="2000"/>
      <c r="HQ261" s="443"/>
    </row>
    <row r="262" spans="168:226" x14ac:dyDescent="0.2">
      <c r="GK262" s="443"/>
      <c r="GL262" s="443"/>
      <c r="GM262" s="443"/>
      <c r="GN262" s="443"/>
      <c r="GO262" s="443"/>
      <c r="GP262" s="443"/>
      <c r="GQ262" s="443"/>
      <c r="GR262" s="443"/>
      <c r="GU262" s="2295" t="s">
        <v>415</v>
      </c>
      <c r="GV262" s="396"/>
      <c r="GW262" s="2296">
        <f t="shared" ref="GW262:HH262" si="802">(GW$259+GW$260)/GW$261*100</f>
        <v>48.894101876675606</v>
      </c>
      <c r="GX262" s="2296">
        <f t="shared" si="802"/>
        <v>49.459912780945984</v>
      </c>
      <c r="GY262" s="2296">
        <f t="shared" si="802"/>
        <v>53.262326303167107</v>
      </c>
      <c r="GZ262" s="2296">
        <f t="shared" si="802"/>
        <v>56.543191693055448</v>
      </c>
      <c r="HA262" s="2296">
        <f t="shared" si="802"/>
        <v>55.806649825902923</v>
      </c>
      <c r="HB262" s="2296">
        <f t="shared" si="802"/>
        <v>53.593972714314809</v>
      </c>
      <c r="HC262" s="2296">
        <f t="shared" si="802"/>
        <v>55.123313802970429</v>
      </c>
      <c r="HD262" s="2296">
        <f t="shared" si="802"/>
        <v>57.939454519491647</v>
      </c>
      <c r="HE262" s="2296">
        <f t="shared" si="802"/>
        <v>57.158552496051641</v>
      </c>
      <c r="HF262" s="2296">
        <f t="shared" si="802"/>
        <v>61.087809498038162</v>
      </c>
      <c r="HG262" s="2296" t="e">
        <f t="shared" si="802"/>
        <v>#DIV/0!</v>
      </c>
      <c r="HH262" s="2296" t="e">
        <f t="shared" si="802"/>
        <v>#DIV/0!</v>
      </c>
      <c r="HJ262" s="2296">
        <f t="shared" ref="HJ262:HO262" si="803">(HJ$259+HJ$260)/HJ$261*100</f>
        <v>61.087809498038162</v>
      </c>
      <c r="HK262" s="2296">
        <f t="shared" si="803"/>
        <v>53.593972714314809</v>
      </c>
      <c r="HL262" s="2296">
        <f t="shared" si="803"/>
        <v>61.087809498038162</v>
      </c>
      <c r="HM262" s="2296">
        <f t="shared" si="803"/>
        <v>53.593972714314809</v>
      </c>
      <c r="HN262" s="2296">
        <f t="shared" si="803"/>
        <v>61.087809498038162</v>
      </c>
      <c r="HO262" s="2296">
        <f t="shared" si="803"/>
        <v>57.939454519491647</v>
      </c>
      <c r="HP262" s="2000"/>
      <c r="HQ262" s="443"/>
    </row>
    <row r="263" spans="168:226" x14ac:dyDescent="0.2">
      <c r="GV263" s="396"/>
      <c r="GW263" s="242"/>
      <c r="GX263" s="242"/>
      <c r="GY263" s="242"/>
      <c r="GZ263" s="242"/>
      <c r="HA263" s="242"/>
      <c r="HB263" s="242"/>
      <c r="HC263" s="242"/>
      <c r="HD263" s="242"/>
      <c r="HE263" s="242"/>
      <c r="HF263" s="242"/>
      <c r="HG263" s="242"/>
      <c r="HH263" s="242"/>
      <c r="HP263" s="2000"/>
    </row>
    <row r="264" spans="168:226" x14ac:dyDescent="0.2">
      <c r="GU264" s="256"/>
      <c r="GV264" s="396"/>
      <c r="GW264" s="214">
        <f t="shared" ref="GW264:HH264" si="804">GW$28</f>
        <v>2403</v>
      </c>
      <c r="GX264" s="214">
        <f t="shared" si="804"/>
        <v>2406</v>
      </c>
      <c r="GY264" s="214">
        <f t="shared" si="804"/>
        <v>2409</v>
      </c>
      <c r="GZ264" s="214">
        <f t="shared" si="804"/>
        <v>2412</v>
      </c>
      <c r="HA264" s="214">
        <f t="shared" si="804"/>
        <v>2503</v>
      </c>
      <c r="HB264" s="214">
        <f t="shared" si="804"/>
        <v>2506</v>
      </c>
      <c r="HC264" s="214">
        <f t="shared" si="804"/>
        <v>2509</v>
      </c>
      <c r="HD264" s="214">
        <f t="shared" si="804"/>
        <v>2512</v>
      </c>
      <c r="HE264" s="214">
        <f t="shared" si="804"/>
        <v>2603</v>
      </c>
      <c r="HF264" s="214">
        <f t="shared" si="804"/>
        <v>2606</v>
      </c>
      <c r="HG264" s="214">
        <f t="shared" si="804"/>
        <v>2609</v>
      </c>
      <c r="HH264" s="214">
        <f t="shared" si="804"/>
        <v>2612</v>
      </c>
      <c r="HJ264" s="214" t="str">
        <f t="shared" ref="HJ264:HO264" si="805">HJ$10</f>
        <v>Kvartal 2</v>
      </c>
      <c r="HK264" s="214" t="str">
        <f t="shared" si="805"/>
        <v>Kvartal 2</v>
      </c>
      <c r="HL264" s="214" t="str">
        <f t="shared" si="805"/>
        <v>Kvartal 1-2</v>
      </c>
      <c r="HM264" s="214" t="str">
        <f t="shared" si="805"/>
        <v>Kvartal 1-2</v>
      </c>
      <c r="HN264" s="214" t="str">
        <f t="shared" si="805"/>
        <v>Kvartal 2, R12</v>
      </c>
      <c r="HO264" s="214" t="str">
        <f t="shared" si="805"/>
        <v>Helår</v>
      </c>
      <c r="HP264" s="2007"/>
    </row>
    <row r="265" spans="168:226" x14ac:dyDescent="0.2">
      <c r="GU265" s="1581"/>
      <c r="GV265" s="396"/>
      <c r="GW265" s="1124"/>
      <c r="GX265" s="1124"/>
      <c r="GY265" s="1124"/>
      <c r="GZ265" s="1124"/>
      <c r="HA265" s="1124"/>
      <c r="HB265" s="1124"/>
      <c r="HC265" s="1124"/>
      <c r="HD265" s="1124"/>
      <c r="HE265" s="1124"/>
      <c r="HF265" s="1124"/>
      <c r="HG265" s="1124"/>
      <c r="HH265" s="1124"/>
      <c r="HJ265" s="1124">
        <f t="shared" ref="HJ265:HO265" si="806">HJ$11</f>
        <v>2026</v>
      </c>
      <c r="HK265" s="1124">
        <f t="shared" si="806"/>
        <v>2025</v>
      </c>
      <c r="HL265" s="1124">
        <f t="shared" si="806"/>
        <v>2026</v>
      </c>
      <c r="HM265" s="1124">
        <f t="shared" si="806"/>
        <v>2025</v>
      </c>
      <c r="HN265" s="1124">
        <f t="shared" si="806"/>
        <v>2026</v>
      </c>
      <c r="HO265" s="1124">
        <f t="shared" si="806"/>
        <v>2025</v>
      </c>
      <c r="HP265" s="2007"/>
    </row>
    <row r="266" spans="168:226" x14ac:dyDescent="0.2">
      <c r="GU266" s="2092" t="s">
        <v>773</v>
      </c>
      <c r="GV266" s="396"/>
      <c r="GW266" s="2300">
        <f t="shared" ref="GW266:HH266" si="807">T$29</f>
        <v>34.600000000000044</v>
      </c>
      <c r="GX266" s="2300">
        <f t="shared" si="807"/>
        <v>52.400000000000048</v>
      </c>
      <c r="GY266" s="2300">
        <f t="shared" si="807"/>
        <v>23.699999999999818</v>
      </c>
      <c r="GZ266" s="2300">
        <f t="shared" si="807"/>
        <v>22.200000000000227</v>
      </c>
      <c r="HA266" s="2300">
        <f t="shared" si="807"/>
        <v>58.900000000000098</v>
      </c>
      <c r="HB266" s="2300">
        <f t="shared" si="807"/>
        <v>34.599999999999852</v>
      </c>
      <c r="HC266" s="2300">
        <f t="shared" si="807"/>
        <v>26.800000000000093</v>
      </c>
      <c r="HD266" s="2300">
        <f t="shared" si="807"/>
        <v>21.400000000000095</v>
      </c>
      <c r="HE266" s="2300">
        <f t="shared" si="807"/>
        <v>47.199999999999982</v>
      </c>
      <c r="HF266" s="2300">
        <f t="shared" si="807"/>
        <v>88.100000000000065</v>
      </c>
      <c r="HG266" s="2300">
        <f t="shared" si="807"/>
        <v>-15.000000000000046</v>
      </c>
      <c r="HH266" s="2300">
        <f t="shared" si="807"/>
        <v>21.400000000000095</v>
      </c>
      <c r="HJ266" s="2300">
        <f>HF266</f>
        <v>88.100000000000065</v>
      </c>
      <c r="HK266" s="2300">
        <f>HB266</f>
        <v>34.599999999999852</v>
      </c>
      <c r="HL266" s="2300">
        <f>SUM(HE266:HF266)</f>
        <v>135.30000000000004</v>
      </c>
      <c r="HM266" s="2300">
        <f>SUM(HA266:HB266)</f>
        <v>93.499999999999943</v>
      </c>
      <c r="HN266" s="2300">
        <f>SUM(HC266:HF266)</f>
        <v>183.50000000000023</v>
      </c>
      <c r="HO266" s="2300">
        <f>SUM(HA266:HD266)</f>
        <v>141.70000000000013</v>
      </c>
      <c r="HP266" s="2000"/>
    </row>
    <row r="267" spans="168:226" x14ac:dyDescent="0.2">
      <c r="GU267" s="2297" t="s">
        <v>774</v>
      </c>
      <c r="GV267" s="396"/>
      <c r="GW267" s="2269">
        <f>'Räntekostnader finansinst'!E24/1000</f>
        <v>1.9794301099999998</v>
      </c>
      <c r="GX267" s="2269">
        <f>'Räntekostnader finansinst'!F24/1000</f>
        <v>2.15942765</v>
      </c>
      <c r="GY267" s="2269">
        <f>'Räntekostnader finansinst'!G24/1000</f>
        <v>2.02239207</v>
      </c>
      <c r="GZ267" s="2269">
        <f>'Räntekostnader finansinst'!H24/1000</f>
        <v>0</v>
      </c>
      <c r="HA267" s="2269">
        <f>'Räntekostnader finansinst'!I24/1000</f>
        <v>1.51217991</v>
      </c>
      <c r="HB267" s="2269">
        <f>'Räntekostnader finansinst'!J24/1000</f>
        <v>1.34021302</v>
      </c>
      <c r="HC267" s="2269">
        <f>'Räntekostnader finansinst'!K24/1000</f>
        <v>1.2307499000000002</v>
      </c>
      <c r="HD267" s="2269">
        <f>'Räntekostnader finansinst'!L24/1000</f>
        <v>2.1039480499999996</v>
      </c>
      <c r="HE267" s="2269">
        <f>'Räntekostnader finansinst'!M24/1000</f>
        <v>1.9461505800000001</v>
      </c>
      <c r="HF267" s="2269">
        <f>'Räntekostnader finansinst'!N24/1000</f>
        <v>2.3421331799999994</v>
      </c>
      <c r="HG267" s="2269" t="e">
        <f>'Räntekostnader finansinst'!O24/1000</f>
        <v>#N/A</v>
      </c>
      <c r="HH267" s="2269" t="e">
        <f>'Räntekostnader finansinst'!P24/1000</f>
        <v>#N/A</v>
      </c>
      <c r="HJ267" s="2279">
        <f>HF267</f>
        <v>2.3421331799999994</v>
      </c>
      <c r="HK267" s="2279">
        <f>HB267</f>
        <v>1.34021302</v>
      </c>
      <c r="HL267" s="2279">
        <f>SUM(HE267:HF267)</f>
        <v>4.2882837599999997</v>
      </c>
      <c r="HM267" s="2279">
        <f>SUM(HA267:HB267)</f>
        <v>2.8523929299999997</v>
      </c>
      <c r="HN267" s="2279">
        <f>SUM(HC267:HF267)</f>
        <v>7.6229817099999995</v>
      </c>
      <c r="HO267" s="2279">
        <f>SUM(HA267:HD267)</f>
        <v>6.1870908799999995</v>
      </c>
      <c r="HP267" s="2000" t="s">
        <v>753</v>
      </c>
    </row>
    <row r="268" spans="168:226" x14ac:dyDescent="0.2">
      <c r="GU268" s="2298" t="s">
        <v>775</v>
      </c>
      <c r="GV268" s="396"/>
      <c r="GW268" s="2299">
        <f>GW267</f>
        <v>1.9794301099999998</v>
      </c>
      <c r="GX268" s="2299">
        <f t="shared" ref="GX268:HH268" si="808">GX267</f>
        <v>2.15942765</v>
      </c>
      <c r="GY268" s="2299">
        <f t="shared" si="808"/>
        <v>2.02239207</v>
      </c>
      <c r="GZ268" s="2299">
        <f t="shared" si="808"/>
        <v>0</v>
      </c>
      <c r="HA268" s="2299">
        <f t="shared" si="808"/>
        <v>1.51217991</v>
      </c>
      <c r="HB268" s="2299">
        <f t="shared" si="808"/>
        <v>1.34021302</v>
      </c>
      <c r="HC268" s="2299">
        <f t="shared" si="808"/>
        <v>1.2307499000000002</v>
      </c>
      <c r="HD268" s="2299">
        <f t="shared" si="808"/>
        <v>2.1039480499999996</v>
      </c>
      <c r="HE268" s="2299">
        <f t="shared" si="808"/>
        <v>1.9461505800000001</v>
      </c>
      <c r="HF268" s="2299">
        <f t="shared" si="808"/>
        <v>2.3421331799999994</v>
      </c>
      <c r="HG268" s="2299" t="e">
        <f t="shared" si="808"/>
        <v>#N/A</v>
      </c>
      <c r="HH268" s="2299" t="e">
        <f t="shared" si="808"/>
        <v>#N/A</v>
      </c>
      <c r="HJ268" s="2301">
        <f>HF268</f>
        <v>2.3421331799999994</v>
      </c>
      <c r="HK268" s="2301">
        <f>HB268</f>
        <v>1.34021302</v>
      </c>
      <c r="HL268" s="2301">
        <f>SUM(HE268:HF268)</f>
        <v>4.2882837599999997</v>
      </c>
      <c r="HM268" s="2301">
        <f>SUM(HA268:HB268)</f>
        <v>2.8523929299999997</v>
      </c>
      <c r="HN268" s="2301">
        <f>SUM(HC268:HF268)</f>
        <v>7.6229817099999995</v>
      </c>
      <c r="HO268" s="2301">
        <f>SUM(HA268:HD268)</f>
        <v>6.1870908799999995</v>
      </c>
      <c r="HP268" s="2000" t="s">
        <v>753</v>
      </c>
    </row>
    <row r="269" spans="168:226" x14ac:dyDescent="0.2">
      <c r="GU269" s="1146" t="s">
        <v>778</v>
      </c>
      <c r="GV269" s="396"/>
      <c r="GW269" s="2302">
        <f t="shared" ref="GW269" si="809">(GW266+GW267)/GW268</f>
        <v>18.479778561113253</v>
      </c>
      <c r="GX269" s="2302">
        <f t="shared" ref="GX269" si="810">(GX266+GX267)/GX268</f>
        <v>25.265689105166384</v>
      </c>
      <c r="GY269" s="2302">
        <f t="shared" ref="GY269" si="811">(GY266+GY267)/GY268</f>
        <v>12.718795950381578</v>
      </c>
      <c r="GZ269" s="2302" t="e">
        <f t="shared" ref="GZ269" si="812">(GZ266+GZ267)/GZ268</f>
        <v>#DIV/0!</v>
      </c>
      <c r="HA269" s="2302">
        <f t="shared" ref="HA269" si="813">(HA266+HA267)/HA268</f>
        <v>39.950391822094829</v>
      </c>
      <c r="HB269" s="2302">
        <f t="shared" ref="HB269" si="814">(HB266+HB267)/HB268</f>
        <v>26.816791423202151</v>
      </c>
      <c r="HC269" s="2302">
        <f t="shared" ref="HC269" si="815">(HC266+HC267)/HC268</f>
        <v>22.775342008965499</v>
      </c>
      <c r="HD269" s="2302">
        <f t="shared" ref="HD269" si="816">(HD266+HD267)/HD268</f>
        <v>11.171353803151222</v>
      </c>
      <c r="HE269" s="2302">
        <f t="shared" ref="HE269" si="817">(HE266+HE267)/HE268</f>
        <v>25.253005129746938</v>
      </c>
      <c r="HF269" s="2302">
        <f t="shared" ref="HF269" si="818">(HF266+HF267)/HF268</f>
        <v>38.615281979823237</v>
      </c>
      <c r="HG269" s="2302" t="e">
        <f t="shared" ref="HG269" si="819">(HG266+HG267)/HG268</f>
        <v>#N/A</v>
      </c>
      <c r="HH269" s="2302" t="e">
        <f t="shared" ref="HH269" si="820">(HH266+HH267)/HH268</f>
        <v>#N/A</v>
      </c>
      <c r="HJ269" s="2302">
        <f>(HJ266+HJ267)/HJ268</f>
        <v>38.615281979823237</v>
      </c>
      <c r="HK269" s="2302">
        <f t="shared" ref="HK269:HO269" si="821">(HK266+HK267)/HK268</f>
        <v>26.816791423202151</v>
      </c>
      <c r="HL269" s="2302">
        <f t="shared" si="821"/>
        <v>32.551083737051968</v>
      </c>
      <c r="HM269" s="2302">
        <f t="shared" si="821"/>
        <v>33.779495074684519</v>
      </c>
      <c r="HN269" s="2302">
        <f t="shared" si="821"/>
        <v>25.071945464499908</v>
      </c>
      <c r="HO269" s="2302">
        <f t="shared" si="821"/>
        <v>23.902524425178662</v>
      </c>
      <c r="HP269" s="2000"/>
    </row>
    <row r="270" spans="168:226" x14ac:dyDescent="0.2">
      <c r="GU270" s="2092"/>
      <c r="GV270" s="396"/>
      <c r="GW270" s="2300"/>
      <c r="GX270" s="2300"/>
      <c r="GY270" s="2300"/>
      <c r="GZ270" s="2300"/>
      <c r="HA270" s="2300"/>
      <c r="HB270" s="2300"/>
      <c r="HC270" s="2300"/>
      <c r="HD270" s="2300"/>
      <c r="HE270" s="2300"/>
      <c r="HF270" s="2300"/>
      <c r="HG270" s="2300"/>
      <c r="HH270" s="2300"/>
      <c r="HJ270" s="426"/>
      <c r="HK270" s="426"/>
      <c r="HL270" s="426"/>
      <c r="HM270" s="426"/>
      <c r="HN270" s="426"/>
      <c r="HO270" s="426"/>
      <c r="HP270" s="2002"/>
    </row>
    <row r="271" spans="168:226" x14ac:dyDescent="0.2">
      <c r="GU271" s="2092" t="s">
        <v>776</v>
      </c>
      <c r="GV271" s="396"/>
      <c r="GW271" s="2300">
        <f>SUM($GW266:GW266)</f>
        <v>34.600000000000044</v>
      </c>
      <c r="GX271" s="2300">
        <f>SUM($GW266:GX266)</f>
        <v>87.000000000000085</v>
      </c>
      <c r="GY271" s="2300">
        <f>SUM($GW266:GY266)</f>
        <v>110.6999999999999</v>
      </c>
      <c r="GZ271" s="2300">
        <f>SUM($GW266:GZ266)</f>
        <v>132.90000000000012</v>
      </c>
      <c r="HA271" s="2300">
        <f>SUM($HA266:HA266)</f>
        <v>58.900000000000098</v>
      </c>
      <c r="HB271" s="2300">
        <f>SUM($HA266:HB266)</f>
        <v>93.499999999999943</v>
      </c>
      <c r="HC271" s="2300">
        <f>SUM($HA266:HC266)</f>
        <v>120.30000000000004</v>
      </c>
      <c r="HD271" s="2300">
        <f>SUM($HA266:HD266)</f>
        <v>141.70000000000013</v>
      </c>
      <c r="HE271" s="2300">
        <f>SUM($HE266:HE266)</f>
        <v>47.199999999999982</v>
      </c>
      <c r="HF271" s="2300">
        <f>SUM($HE266:HF266)</f>
        <v>135.30000000000004</v>
      </c>
      <c r="HG271" s="2300">
        <f>SUM($HE266:HG266)</f>
        <v>120.3</v>
      </c>
      <c r="HH271" s="2300">
        <f>SUM($HE266:HH266)</f>
        <v>141.7000000000001</v>
      </c>
      <c r="HJ271" s="426"/>
      <c r="HK271" s="426"/>
      <c r="HL271" s="426"/>
      <c r="HM271" s="426"/>
      <c r="HN271" s="426"/>
      <c r="HO271" s="426"/>
      <c r="HP271" s="2002"/>
    </row>
    <row r="272" spans="168:226" x14ac:dyDescent="0.2">
      <c r="GU272" s="2092" t="s">
        <v>777</v>
      </c>
      <c r="GV272" s="396"/>
      <c r="GW272" s="2090">
        <f>SUM($GW267:GW267)</f>
        <v>1.9794301099999998</v>
      </c>
      <c r="GX272" s="2090">
        <f>SUM($GW267:GX267)</f>
        <v>4.1388577599999996</v>
      </c>
      <c r="GY272" s="2090">
        <f>SUM($GW267:GY267)</f>
        <v>6.1612498299999992</v>
      </c>
      <c r="GZ272" s="2090">
        <f>SUM($GW267:GZ267)</f>
        <v>6.1612498299999992</v>
      </c>
      <c r="HA272" s="2090">
        <f>SUM($HA267:HA267)</f>
        <v>1.51217991</v>
      </c>
      <c r="HB272" s="2090">
        <f>SUM($HA267:HB267)</f>
        <v>2.8523929299999997</v>
      </c>
      <c r="HC272" s="2090">
        <f>SUM($HA267:HC267)</f>
        <v>4.0831428299999999</v>
      </c>
      <c r="HD272" s="2090">
        <f>SUM($HA267:HD267)</f>
        <v>6.1870908799999995</v>
      </c>
      <c r="HE272" s="2090">
        <f>SUM($HE267:HE267)</f>
        <v>1.9461505800000001</v>
      </c>
      <c r="HF272" s="2090">
        <f>SUM($HE267:HF267)</f>
        <v>4.2882837599999997</v>
      </c>
      <c r="HG272" s="2090" t="e">
        <f>SUM($HE267:HG267)</f>
        <v>#N/A</v>
      </c>
      <c r="HH272" s="2090" t="e">
        <f>SUM($HE267:HH267)</f>
        <v>#N/A</v>
      </c>
      <c r="HJ272" s="426"/>
      <c r="HK272" s="426"/>
      <c r="HL272" s="426"/>
      <c r="HM272" s="426"/>
      <c r="HN272" s="426"/>
      <c r="HO272" s="426"/>
      <c r="HP272" s="2002"/>
    </row>
    <row r="273" spans="203:224" x14ac:dyDescent="0.2">
      <c r="GU273" s="2093" t="s">
        <v>779</v>
      </c>
      <c r="GV273" s="396"/>
      <c r="GW273" s="2091">
        <f>SUM($GW268:GW268)</f>
        <v>1.9794301099999998</v>
      </c>
      <c r="GX273" s="2091">
        <f>SUM($GW268:GX268)</f>
        <v>4.1388577599999996</v>
      </c>
      <c r="GY273" s="2091">
        <f>SUM($GW268:GY268)</f>
        <v>6.1612498299999992</v>
      </c>
      <c r="GZ273" s="2091">
        <f>SUM($GW268:GZ268)</f>
        <v>6.1612498299999992</v>
      </c>
      <c r="HA273" s="2091">
        <f>SUM($HA268:HA268)</f>
        <v>1.51217991</v>
      </c>
      <c r="HB273" s="2091">
        <f>SUM($HA268:HB268)</f>
        <v>2.8523929299999997</v>
      </c>
      <c r="HC273" s="2091">
        <f>SUM($HA268:HC268)</f>
        <v>4.0831428299999999</v>
      </c>
      <c r="HD273" s="2091">
        <f>SUM($HA268:HD268)</f>
        <v>6.1870908799999995</v>
      </c>
      <c r="HE273" s="2091">
        <f>SUM($HE268:HE268)</f>
        <v>1.9461505800000001</v>
      </c>
      <c r="HF273" s="2091">
        <f>SUM($HE268:HF268)</f>
        <v>4.2882837599999997</v>
      </c>
      <c r="HG273" s="2091" t="e">
        <f>SUM($HE268:HG268)</f>
        <v>#N/A</v>
      </c>
      <c r="HH273" s="2091" t="e">
        <f>SUM($HE268:HH268)</f>
        <v>#N/A</v>
      </c>
      <c r="HJ273" s="426"/>
      <c r="HK273" s="426"/>
      <c r="HL273" s="426"/>
      <c r="HM273" s="426"/>
      <c r="HN273" s="426"/>
      <c r="HO273" s="426"/>
      <c r="HP273" s="2002"/>
    </row>
    <row r="274" spans="203:224" x14ac:dyDescent="0.2">
      <c r="GU274" s="1146" t="s">
        <v>780</v>
      </c>
      <c r="GV274" s="396"/>
      <c r="GW274" s="2302">
        <f t="shared" ref="GW274" si="822">(GW271+GW272)/GW273</f>
        <v>18.479778561113253</v>
      </c>
      <c r="GX274" s="2302">
        <f t="shared" ref="GX274" si="823">(GX271+GX272)/GX273</f>
        <v>22.020292323358337</v>
      </c>
      <c r="GY274" s="2302">
        <f t="shared" ref="GY274" si="824">(GY271+GY272)/GY273</f>
        <v>18.967133788502768</v>
      </c>
      <c r="GZ274" s="2302">
        <f t="shared" ref="GZ274" si="825">(GZ271+GZ272)/GZ273</f>
        <v>22.570298830099564</v>
      </c>
      <c r="HA274" s="2302">
        <f t="shared" ref="HA274" si="826">(HA271+HA272)/HA273</f>
        <v>39.950391822094829</v>
      </c>
      <c r="HB274" s="2302">
        <f t="shared" ref="HB274" si="827">(HB271+HB272)/HB273</f>
        <v>33.779495074684519</v>
      </c>
      <c r="HC274" s="2302">
        <f t="shared" ref="HC274" si="828">(HC271+HC272)/HC273</f>
        <v>30.46259903428361</v>
      </c>
      <c r="HD274" s="2302">
        <f t="shared" ref="HD274" si="829">(HD271+HD272)/HD273</f>
        <v>23.902524425178662</v>
      </c>
      <c r="HE274" s="2302">
        <f t="shared" ref="HE274" si="830">(HE271+HE272)/HE273</f>
        <v>25.253005129746938</v>
      </c>
      <c r="HF274" s="2302">
        <f t="shared" ref="HF274" si="831">(HF271+HF272)/HF273</f>
        <v>32.551083737051968</v>
      </c>
      <c r="HG274" s="2302" t="e">
        <f t="shared" ref="HG274" si="832">(HG271+HG272)/HG273</f>
        <v>#N/A</v>
      </c>
      <c r="HH274" s="2302" t="e">
        <f t="shared" ref="HH274" si="833">(HH271+HH272)/HH273</f>
        <v>#N/A</v>
      </c>
      <c r="HJ274" s="426"/>
      <c r="HK274" s="426"/>
      <c r="HL274" s="426"/>
      <c r="HM274" s="426"/>
      <c r="HN274" s="426"/>
      <c r="HO274" s="426"/>
      <c r="HP274" s="2002"/>
    </row>
    <row r="275" spans="203:224" x14ac:dyDescent="0.2">
      <c r="GU275" s="1560"/>
      <c r="GV275" s="396"/>
      <c r="GW275" s="1565"/>
      <c r="GX275" s="1565"/>
      <c r="GY275" s="1565"/>
      <c r="GZ275" s="1565"/>
      <c r="HA275" s="1565"/>
      <c r="HB275" s="1565"/>
      <c r="HC275" s="1565"/>
      <c r="HD275" s="1565"/>
      <c r="HE275" s="1565"/>
      <c r="HF275" s="1565"/>
      <c r="HG275" s="1565"/>
      <c r="HH275" s="1565"/>
      <c r="HJ275" s="396"/>
      <c r="HK275" s="396"/>
      <c r="HL275" s="396"/>
      <c r="HM275" s="396"/>
      <c r="HN275" s="396"/>
      <c r="HO275" s="396"/>
      <c r="HP275" s="2002"/>
    </row>
    <row r="276" spans="203:224" x14ac:dyDescent="0.2">
      <c r="GU276" s="256"/>
      <c r="GV276" s="396"/>
      <c r="GW276" s="214">
        <f t="shared" ref="GW276:HH276" si="834">GW$28</f>
        <v>2403</v>
      </c>
      <c r="GX276" s="214">
        <f t="shared" si="834"/>
        <v>2406</v>
      </c>
      <c r="GY276" s="214">
        <f t="shared" si="834"/>
        <v>2409</v>
      </c>
      <c r="GZ276" s="214">
        <f t="shared" si="834"/>
        <v>2412</v>
      </c>
      <c r="HA276" s="214">
        <f t="shared" si="834"/>
        <v>2503</v>
      </c>
      <c r="HB276" s="214">
        <f t="shared" si="834"/>
        <v>2506</v>
      </c>
      <c r="HC276" s="214">
        <f t="shared" si="834"/>
        <v>2509</v>
      </c>
      <c r="HD276" s="214">
        <f t="shared" si="834"/>
        <v>2512</v>
      </c>
      <c r="HE276" s="214">
        <f t="shared" si="834"/>
        <v>2603</v>
      </c>
      <c r="HF276" s="214">
        <f t="shared" si="834"/>
        <v>2606</v>
      </c>
      <c r="HG276" s="214">
        <f t="shared" si="834"/>
        <v>2609</v>
      </c>
      <c r="HH276" s="214">
        <f t="shared" si="834"/>
        <v>2612</v>
      </c>
      <c r="HJ276" s="214" t="str">
        <f t="shared" ref="HJ276:HO276" si="835">HJ$10</f>
        <v>Kvartal 2</v>
      </c>
      <c r="HK276" s="214" t="str">
        <f t="shared" si="835"/>
        <v>Kvartal 2</v>
      </c>
      <c r="HL276" s="214" t="str">
        <f t="shared" si="835"/>
        <v>Kvartal 1-2</v>
      </c>
      <c r="HM276" s="214" t="str">
        <f t="shared" si="835"/>
        <v>Kvartal 1-2</v>
      </c>
      <c r="HN276" s="214" t="str">
        <f t="shared" si="835"/>
        <v>Kvartal 2, R12</v>
      </c>
      <c r="HO276" s="214" t="str">
        <f t="shared" si="835"/>
        <v>Helår</v>
      </c>
      <c r="HP276" s="2007"/>
    </row>
    <row r="277" spans="203:224" x14ac:dyDescent="0.2">
      <c r="GU277" s="1581"/>
      <c r="GV277" s="396"/>
      <c r="GW277" s="1124"/>
      <c r="GX277" s="1124"/>
      <c r="GY277" s="1124"/>
      <c r="GZ277" s="1124"/>
      <c r="HA277" s="1124"/>
      <c r="HB277" s="1124"/>
      <c r="HC277" s="1124"/>
      <c r="HD277" s="1124"/>
      <c r="HE277" s="1124"/>
      <c r="HF277" s="1124"/>
      <c r="HG277" s="1124"/>
      <c r="HH277" s="1124"/>
      <c r="HJ277" s="1124">
        <f t="shared" ref="HJ277:HO277" si="836">HJ$11</f>
        <v>2026</v>
      </c>
      <c r="HK277" s="1124">
        <f t="shared" si="836"/>
        <v>2025</v>
      </c>
      <c r="HL277" s="1124">
        <f t="shared" si="836"/>
        <v>2026</v>
      </c>
      <c r="HM277" s="1124">
        <f t="shared" si="836"/>
        <v>2025</v>
      </c>
      <c r="HN277" s="1124">
        <f t="shared" si="836"/>
        <v>2026</v>
      </c>
      <c r="HO277" s="1124">
        <f t="shared" si="836"/>
        <v>2025</v>
      </c>
      <c r="HP277" s="2007"/>
    </row>
    <row r="278" spans="203:224" x14ac:dyDescent="0.2">
      <c r="GU278" s="264" t="s">
        <v>770</v>
      </c>
      <c r="GV278" s="396"/>
      <c r="GW278" s="1140">
        <f t="shared" ref="GW278:HH278" si="837">G$12</f>
        <v>581.20000000000005</v>
      </c>
      <c r="GX278" s="1140">
        <f t="shared" si="837"/>
        <v>1185.7</v>
      </c>
      <c r="GY278" s="1140">
        <f t="shared" si="837"/>
        <v>1692.3</v>
      </c>
      <c r="GZ278" s="1140">
        <f t="shared" si="837"/>
        <v>2271.8000000000002</v>
      </c>
      <c r="HA278" s="1140">
        <f t="shared" si="837"/>
        <v>639.6</v>
      </c>
      <c r="HB278" s="1140">
        <f t="shared" si="837"/>
        <v>1311.6</v>
      </c>
      <c r="HC278" s="1140">
        <f t="shared" si="837"/>
        <v>1809.4</v>
      </c>
      <c r="HD278" s="1140">
        <f t="shared" si="837"/>
        <v>2329.8000000000002</v>
      </c>
      <c r="HE278" s="1140">
        <f t="shared" si="837"/>
        <v>609.6</v>
      </c>
      <c r="HF278" s="1140">
        <f t="shared" si="837"/>
        <v>1294.3</v>
      </c>
      <c r="HG278" s="1140">
        <f t="shared" si="837"/>
        <v>1809.4</v>
      </c>
      <c r="HH278" s="1140">
        <f t="shared" si="837"/>
        <v>2329.8000000000002</v>
      </c>
      <c r="HJ278" s="1140">
        <f>HF278</f>
        <v>1294.3</v>
      </c>
      <c r="HK278" s="1140">
        <f>HB278</f>
        <v>1311.6</v>
      </c>
      <c r="HL278" s="1140">
        <f>HJ278</f>
        <v>1294.3</v>
      </c>
      <c r="HM278" s="1140">
        <f>HK278</f>
        <v>1311.6</v>
      </c>
      <c r="HN278" s="1140">
        <f>SUM(HC12:HF12)</f>
        <v>2312.5</v>
      </c>
      <c r="HO278" s="1140">
        <f>HD278</f>
        <v>2329.8000000000002</v>
      </c>
      <c r="HP278" s="2000"/>
    </row>
    <row r="279" spans="203:224" x14ac:dyDescent="0.2">
      <c r="GU279" s="1145" t="s">
        <v>771</v>
      </c>
      <c r="GV279" s="396"/>
      <c r="GW279" s="1142">
        <v>4</v>
      </c>
      <c r="GX279" s="1142">
        <v>2</v>
      </c>
      <c r="GY279" s="1142">
        <v>1.3333299999999999</v>
      </c>
      <c r="GZ279" s="1142">
        <v>1</v>
      </c>
      <c r="HA279" s="1142">
        <f>GW279</f>
        <v>4</v>
      </c>
      <c r="HB279" s="1142">
        <f t="shared" ref="HB279" si="838">GX279</f>
        <v>2</v>
      </c>
      <c r="HC279" s="1142">
        <f t="shared" ref="HC279" si="839">GY279</f>
        <v>1.3333299999999999</v>
      </c>
      <c r="HD279" s="1142">
        <f t="shared" ref="HD279" si="840">GZ279</f>
        <v>1</v>
      </c>
      <c r="HE279" s="1142">
        <f t="shared" ref="HE279" si="841">HA279</f>
        <v>4</v>
      </c>
      <c r="HF279" s="1142">
        <f t="shared" ref="HF279" si="842">HB279</f>
        <v>2</v>
      </c>
      <c r="HG279" s="1142">
        <f t="shared" ref="HG279" si="843">HC279</f>
        <v>1.3333299999999999</v>
      </c>
      <c r="HH279" s="1142">
        <f t="shared" ref="HH279" si="844">HD279</f>
        <v>1</v>
      </c>
      <c r="HJ279" s="1142">
        <f>HF279</f>
        <v>2</v>
      </c>
      <c r="HK279" s="1142">
        <f>HB279</f>
        <v>2</v>
      </c>
      <c r="HL279" s="1142">
        <f t="shared" ref="HL279:HL280" si="845">HJ279</f>
        <v>2</v>
      </c>
      <c r="HM279" s="1142">
        <f t="shared" ref="HM279:HM280" si="846">HK279</f>
        <v>2</v>
      </c>
      <c r="HN279" s="1142"/>
      <c r="HO279" s="1142">
        <f>HD279</f>
        <v>1</v>
      </c>
      <c r="HP279" s="2000"/>
    </row>
    <row r="280" spans="203:224" x14ac:dyDescent="0.2">
      <c r="GU280" s="1146" t="s">
        <v>772</v>
      </c>
      <c r="GV280" s="396"/>
      <c r="GW280" s="1143">
        <f>GW278*GW279</f>
        <v>2324.8000000000002</v>
      </c>
      <c r="GX280" s="1143">
        <f t="shared" ref="GX280" si="847">GX278*GX279</f>
        <v>2371.4</v>
      </c>
      <c r="GY280" s="1143">
        <f t="shared" ref="GY280" si="848">GY278*GY279</f>
        <v>2256.3943589999999</v>
      </c>
      <c r="GZ280" s="1143">
        <f t="shared" ref="GZ280" si="849">GZ278*GZ279</f>
        <v>2271.8000000000002</v>
      </c>
      <c r="HA280" s="1143">
        <f t="shared" ref="HA280" si="850">HA278*HA279</f>
        <v>2558.4</v>
      </c>
      <c r="HB280" s="1143">
        <f t="shared" ref="HB280" si="851">HB278*HB279</f>
        <v>2623.2</v>
      </c>
      <c r="HC280" s="1143">
        <f t="shared" ref="HC280" si="852">HC278*HC279</f>
        <v>2412.527302</v>
      </c>
      <c r="HD280" s="1143">
        <f t="shared" ref="HD280" si="853">HD278*HD279</f>
        <v>2329.8000000000002</v>
      </c>
      <c r="HE280" s="1143">
        <f t="shared" ref="HE280" si="854">HE278*HE279</f>
        <v>2438.4</v>
      </c>
      <c r="HF280" s="1143">
        <f t="shared" ref="HF280" si="855">HF278*HF279</f>
        <v>2588.6</v>
      </c>
      <c r="HG280" s="1143">
        <f t="shared" ref="HG280" si="856">HG278*HG279</f>
        <v>2412.527302</v>
      </c>
      <c r="HH280" s="1143">
        <f t="shared" ref="HH280" si="857">HH278*HH279</f>
        <v>2329.8000000000002</v>
      </c>
      <c r="HJ280" s="1143">
        <f>HF280</f>
        <v>2588.6</v>
      </c>
      <c r="HK280" s="1143">
        <f>HB280</f>
        <v>2623.2</v>
      </c>
      <c r="HL280" s="1143">
        <f t="shared" si="845"/>
        <v>2588.6</v>
      </c>
      <c r="HM280" s="1143">
        <f t="shared" si="846"/>
        <v>2623.2</v>
      </c>
      <c r="HN280" s="1143">
        <f>SUM(HN278:HN279)</f>
        <v>2312.5</v>
      </c>
      <c r="HO280" s="1143">
        <f>HD280</f>
        <v>2329.8000000000002</v>
      </c>
      <c r="HP280" s="2000"/>
    </row>
    <row r="281" spans="203:224" x14ac:dyDescent="0.2">
      <c r="GU281" s="1146" t="s">
        <v>760</v>
      </c>
      <c r="GV281" s="396"/>
      <c r="GW281" s="1568">
        <f>GW220</f>
        <v>0</v>
      </c>
      <c r="GX281" s="1568">
        <f>GX220</f>
        <v>0</v>
      </c>
      <c r="GY281" s="1568">
        <f>GY220</f>
        <v>0</v>
      </c>
      <c r="GZ281" s="1568">
        <f>GZ220</f>
        <v>0</v>
      </c>
      <c r="HA281" s="1568">
        <f t="shared" ref="HA281:HH281" si="858">HA233</f>
        <v>819.09999999999991</v>
      </c>
      <c r="HB281" s="1568">
        <f t="shared" si="858"/>
        <v>825.49999999999989</v>
      </c>
      <c r="HC281" s="1568">
        <f t="shared" si="858"/>
        <v>856.65</v>
      </c>
      <c r="HD281" s="1568">
        <f t="shared" si="858"/>
        <v>869.09999999999991</v>
      </c>
      <c r="HE281" s="1568">
        <f t="shared" si="858"/>
        <v>932.8</v>
      </c>
      <c r="HF281" s="1568">
        <f t="shared" si="858"/>
        <v>931.44999999999982</v>
      </c>
      <c r="HG281" s="1568">
        <f t="shared" si="858"/>
        <v>469.29999999999995</v>
      </c>
      <c r="HH281" s="1568">
        <f t="shared" si="858"/>
        <v>469.29999999999995</v>
      </c>
      <c r="HJ281" s="1568">
        <f>HJ233</f>
        <v>925.64999999999986</v>
      </c>
      <c r="HK281" s="1568">
        <f t="shared" ref="HK281:HO281" si="859">HK233</f>
        <v>844.99999999999989</v>
      </c>
      <c r="HL281" s="1568">
        <f t="shared" si="859"/>
        <v>931.44999999999982</v>
      </c>
      <c r="HM281" s="1568">
        <f t="shared" si="859"/>
        <v>825.49999999999989</v>
      </c>
      <c r="HN281" s="1568">
        <f t="shared" si="859"/>
        <v>887.84999999999991</v>
      </c>
      <c r="HO281" s="1568">
        <f t="shared" si="859"/>
        <v>869.09999999999991</v>
      </c>
      <c r="HP281" s="2000"/>
    </row>
    <row r="282" spans="203:224" ht="12" thickBot="1" x14ac:dyDescent="0.25">
      <c r="GU282" s="2303" t="s">
        <v>414</v>
      </c>
      <c r="GV282" s="396"/>
      <c r="GW282" s="1567" t="str">
        <f>IFERROR(GW280/GW281,"N/A")</f>
        <v>N/A</v>
      </c>
      <c r="GX282" s="1567" t="str">
        <f t="shared" ref="GX282:HO282" si="860">IFERROR(GX280/GX281,"N/A")</f>
        <v>N/A</v>
      </c>
      <c r="GY282" s="1567" t="str">
        <f t="shared" si="860"/>
        <v>N/A</v>
      </c>
      <c r="GZ282" s="1567" t="str">
        <f t="shared" si="860"/>
        <v>N/A</v>
      </c>
      <c r="HA282" s="1567">
        <f t="shared" si="860"/>
        <v>3.1234281528506904</v>
      </c>
      <c r="HB282" s="1567">
        <f t="shared" si="860"/>
        <v>3.1777104784978802</v>
      </c>
      <c r="HC282" s="1567">
        <f t="shared" si="860"/>
        <v>2.8162345205159633</v>
      </c>
      <c r="HD282" s="1567">
        <f t="shared" si="860"/>
        <v>2.6807041767345536</v>
      </c>
      <c r="HE282" s="1567">
        <f t="shared" si="860"/>
        <v>2.6140651801029162</v>
      </c>
      <c r="HF282" s="1567">
        <f t="shared" si="860"/>
        <v>2.7791078426109834</v>
      </c>
      <c r="HG282" s="1567">
        <f t="shared" si="860"/>
        <v>5.1406931642872369</v>
      </c>
      <c r="HH282" s="1567">
        <f t="shared" si="860"/>
        <v>4.964415086298744</v>
      </c>
      <c r="HJ282" s="1567">
        <f t="shared" si="860"/>
        <v>2.7965213633662835</v>
      </c>
      <c r="HK282" s="1567">
        <f t="shared" si="860"/>
        <v>3.1043786982248522</v>
      </c>
      <c r="HL282" s="1567">
        <f t="shared" si="860"/>
        <v>2.7791078426109834</v>
      </c>
      <c r="HM282" s="1567">
        <f t="shared" si="860"/>
        <v>3.1777104784978802</v>
      </c>
      <c r="HN282" s="1567">
        <f t="shared" si="860"/>
        <v>2.6046066340034919</v>
      </c>
      <c r="HO282" s="1567">
        <f t="shared" si="860"/>
        <v>2.6807041767345536</v>
      </c>
      <c r="HP282" s="2000"/>
    </row>
    <row r="283" spans="203:224" ht="12" thickTop="1" x14ac:dyDescent="0.2">
      <c r="GV283" s="396"/>
      <c r="GW283" s="242"/>
      <c r="GX283" s="242"/>
      <c r="GY283" s="242"/>
      <c r="GZ283" s="242"/>
      <c r="HA283" s="242"/>
      <c r="HB283" s="242"/>
      <c r="HC283" s="242"/>
      <c r="HD283" s="242"/>
      <c r="HE283" s="242"/>
      <c r="HF283" s="242"/>
      <c r="HG283" s="242"/>
      <c r="HH283" s="242"/>
      <c r="HP283" s="2000"/>
    </row>
    <row r="284" spans="203:224" x14ac:dyDescent="0.2">
      <c r="GU284" s="256"/>
      <c r="GV284" s="396"/>
      <c r="GW284" s="214">
        <f t="shared" ref="GW284:HH284" si="861">GW$28</f>
        <v>2403</v>
      </c>
      <c r="GX284" s="214">
        <f t="shared" si="861"/>
        <v>2406</v>
      </c>
      <c r="GY284" s="214">
        <f t="shared" si="861"/>
        <v>2409</v>
      </c>
      <c r="GZ284" s="214">
        <f t="shared" si="861"/>
        <v>2412</v>
      </c>
      <c r="HA284" s="214">
        <f t="shared" si="861"/>
        <v>2503</v>
      </c>
      <c r="HB284" s="214">
        <f t="shared" si="861"/>
        <v>2506</v>
      </c>
      <c r="HC284" s="214">
        <f t="shared" si="861"/>
        <v>2509</v>
      </c>
      <c r="HD284" s="214">
        <f t="shared" si="861"/>
        <v>2512</v>
      </c>
      <c r="HE284" s="214">
        <f t="shared" si="861"/>
        <v>2603</v>
      </c>
      <c r="HF284" s="214">
        <f t="shared" si="861"/>
        <v>2606</v>
      </c>
      <c r="HG284" s="214">
        <f t="shared" si="861"/>
        <v>2609</v>
      </c>
      <c r="HH284" s="214">
        <f t="shared" si="861"/>
        <v>2612</v>
      </c>
      <c r="HJ284" s="214" t="str">
        <f t="shared" ref="HJ284:HO284" si="862">HJ$10</f>
        <v>Kvartal 2</v>
      </c>
      <c r="HK284" s="214" t="str">
        <f t="shared" si="862"/>
        <v>Kvartal 2</v>
      </c>
      <c r="HL284" s="214" t="str">
        <f t="shared" si="862"/>
        <v>Kvartal 1-2</v>
      </c>
      <c r="HM284" s="214" t="str">
        <f t="shared" si="862"/>
        <v>Kvartal 1-2</v>
      </c>
      <c r="HN284" s="214" t="str">
        <f t="shared" si="862"/>
        <v>Kvartal 2, R12</v>
      </c>
      <c r="HO284" s="214" t="str">
        <f t="shared" si="862"/>
        <v>Helår</v>
      </c>
      <c r="HP284" s="2007"/>
    </row>
    <row r="285" spans="203:224" x14ac:dyDescent="0.2">
      <c r="GU285" s="1581"/>
      <c r="GV285" s="396"/>
      <c r="GW285" s="1124"/>
      <c r="GX285" s="1124"/>
      <c r="GY285" s="1124"/>
      <c r="GZ285" s="1124"/>
      <c r="HA285" s="1124"/>
      <c r="HB285" s="1124"/>
      <c r="HC285" s="1124"/>
      <c r="HD285" s="1124"/>
      <c r="HE285" s="1124"/>
      <c r="HF285" s="1124"/>
      <c r="HG285" s="1124"/>
      <c r="HH285" s="1124"/>
      <c r="HJ285" s="1124">
        <f t="shared" ref="HJ285:HO285" si="863">HJ$11</f>
        <v>2026</v>
      </c>
      <c r="HK285" s="1124">
        <f t="shared" si="863"/>
        <v>2025</v>
      </c>
      <c r="HL285" s="1124">
        <f t="shared" si="863"/>
        <v>2026</v>
      </c>
      <c r="HM285" s="1124">
        <f t="shared" si="863"/>
        <v>2025</v>
      </c>
      <c r="HN285" s="1124">
        <f t="shared" si="863"/>
        <v>2026</v>
      </c>
      <c r="HO285" s="1124">
        <f t="shared" si="863"/>
        <v>2025</v>
      </c>
      <c r="HP285" s="2007"/>
    </row>
    <row r="286" spans="203:224" x14ac:dyDescent="0.2">
      <c r="GU286" s="1342" t="s">
        <v>792</v>
      </c>
      <c r="GV286" s="396"/>
      <c r="GW286" s="2131">
        <f t="shared" ref="GW286:HH286" si="864">T38</f>
        <v>2.1</v>
      </c>
      <c r="GX286" s="2131">
        <f t="shared" si="864"/>
        <v>2.1999999999999997</v>
      </c>
      <c r="GY286" s="2131">
        <f t="shared" si="864"/>
        <v>2.1000000000000005</v>
      </c>
      <c r="GZ286" s="2131">
        <f t="shared" si="864"/>
        <v>0</v>
      </c>
      <c r="HA286" s="2131">
        <f t="shared" si="864"/>
        <v>1.6</v>
      </c>
      <c r="HB286" s="2131">
        <f t="shared" si="864"/>
        <v>1.4</v>
      </c>
      <c r="HC286" s="2131">
        <f t="shared" si="864"/>
        <v>0.79999999999999982</v>
      </c>
      <c r="HD286" s="2131">
        <f t="shared" si="864"/>
        <v>0.79999999999999982</v>
      </c>
      <c r="HE286" s="2131">
        <f t="shared" si="864"/>
        <v>1.1000000000000001</v>
      </c>
      <c r="HF286" s="2131">
        <f t="shared" si="864"/>
        <v>1.5</v>
      </c>
      <c r="HG286" s="2131">
        <f t="shared" si="864"/>
        <v>1.1999999999999997</v>
      </c>
      <c r="HH286" s="2131">
        <f t="shared" si="864"/>
        <v>0.79999999999999982</v>
      </c>
      <c r="HJ286" s="2274">
        <f>HF286</f>
        <v>1.5</v>
      </c>
      <c r="HK286" s="2274">
        <f>HB286</f>
        <v>1.4</v>
      </c>
      <c r="HL286" s="2274">
        <f>SUM(HE286:HF286)</f>
        <v>2.6</v>
      </c>
      <c r="HM286" s="2274">
        <f>SUM(HA286:HB286)</f>
        <v>3</v>
      </c>
      <c r="HN286" s="2109">
        <f>SUM(HC286:HF286)</f>
        <v>4.1999999999999993</v>
      </c>
      <c r="HO286" s="2274">
        <f>SUM(HA286:HD286)</f>
        <v>4.5999999999999996</v>
      </c>
      <c r="HP286" s="2000"/>
    </row>
    <row r="287" spans="203:224" x14ac:dyDescent="0.2">
      <c r="GU287" s="264"/>
      <c r="GW287" s="264"/>
      <c r="GX287" s="264"/>
      <c r="GY287" s="264"/>
      <c r="GZ287" s="264"/>
      <c r="HA287" s="264"/>
      <c r="HB287" s="264"/>
      <c r="HC287" s="264"/>
      <c r="HD287" s="264"/>
      <c r="HE287" s="264"/>
      <c r="HF287" s="264"/>
      <c r="HG287" s="264"/>
      <c r="HH287" s="264"/>
      <c r="HJ287" s="264"/>
      <c r="HK287" s="264"/>
      <c r="HL287" s="264"/>
      <c r="HM287" s="264"/>
      <c r="HN287" s="1342"/>
      <c r="HO287" s="264"/>
      <c r="HP287" s="2009"/>
    </row>
    <row r="288" spans="203:224" x14ac:dyDescent="0.2">
      <c r="GU288" s="264" t="s">
        <v>789</v>
      </c>
      <c r="GV288" s="396"/>
      <c r="GW288" s="2305">
        <f t="shared" ref="GW288:HH288" si="865">T31</f>
        <v>0</v>
      </c>
      <c r="GX288" s="2305">
        <f t="shared" si="865"/>
        <v>0</v>
      </c>
      <c r="GY288" s="2305">
        <f t="shared" si="865"/>
        <v>0</v>
      </c>
      <c r="GZ288" s="2305">
        <f t="shared" si="865"/>
        <v>0</v>
      </c>
      <c r="HA288" s="2305">
        <f t="shared" si="865"/>
        <v>46.100000000000101</v>
      </c>
      <c r="HB288" s="2305">
        <f t="shared" si="865"/>
        <v>25.599999999999852</v>
      </c>
      <c r="HC288" s="2305">
        <f t="shared" si="865"/>
        <v>24.200000000000095</v>
      </c>
      <c r="HD288" s="2305">
        <f t="shared" si="865"/>
        <v>14.300000000000093</v>
      </c>
      <c r="HE288" s="2305">
        <f t="shared" si="865"/>
        <v>36.799999999999983</v>
      </c>
      <c r="HF288" s="2305">
        <f t="shared" si="865"/>
        <v>70.600000000000065</v>
      </c>
      <c r="HG288" s="2305">
        <f t="shared" si="865"/>
        <v>-11.500000000000046</v>
      </c>
      <c r="HH288" s="2305">
        <f t="shared" si="865"/>
        <v>14.300000000000093</v>
      </c>
      <c r="HJ288" s="2274">
        <f>HF288</f>
        <v>70.600000000000065</v>
      </c>
      <c r="HK288" s="2274">
        <f>HB288</f>
        <v>25.599999999999852</v>
      </c>
      <c r="HL288" s="2274">
        <f>SUM(HE288:HF288)</f>
        <v>107.40000000000005</v>
      </c>
      <c r="HM288" s="2274">
        <f>SUM(HA288:HB288)</f>
        <v>71.69999999999996</v>
      </c>
      <c r="HN288" s="2109">
        <f>SUM(HC288:HF288)</f>
        <v>145.90000000000023</v>
      </c>
      <c r="HO288" s="2274">
        <f>SUM(HA288:HD288)</f>
        <v>110.20000000000016</v>
      </c>
      <c r="HP288" s="2000" t="s">
        <v>793</v>
      </c>
    </row>
    <row r="289" spans="202:224" x14ac:dyDescent="0.2">
      <c r="GU289" s="1145" t="s">
        <v>790</v>
      </c>
      <c r="GV289" s="396"/>
      <c r="GW289" s="2306">
        <f t="shared" ref="GW289:HH290" si="866">T34</f>
        <v>0</v>
      </c>
      <c r="GX289" s="2306">
        <f t="shared" si="866"/>
        <v>0</v>
      </c>
      <c r="GY289" s="2306">
        <f t="shared" si="866"/>
        <v>0</v>
      </c>
      <c r="GZ289" s="2306">
        <f t="shared" si="866"/>
        <v>0</v>
      </c>
      <c r="HA289" s="2306">
        <f t="shared" si="866"/>
        <v>-2.7</v>
      </c>
      <c r="HB289" s="2306">
        <f t="shared" si="866"/>
        <v>-7.4999999999999991</v>
      </c>
      <c r="HC289" s="2306">
        <f t="shared" si="866"/>
        <v>-6.5000000000000036</v>
      </c>
      <c r="HD289" s="2306">
        <f t="shared" si="866"/>
        <v>-15.399999999999999</v>
      </c>
      <c r="HE289" s="2306">
        <f t="shared" si="866"/>
        <v>-2.8</v>
      </c>
      <c r="HF289" s="2306">
        <f t="shared" si="866"/>
        <v>-0.60000000000000009</v>
      </c>
      <c r="HG289" s="2306">
        <f t="shared" si="866"/>
        <v>-13.300000000000002</v>
      </c>
      <c r="HH289" s="2306">
        <f t="shared" si="866"/>
        <v>-15.399999999999999</v>
      </c>
      <c r="HJ289" s="2294">
        <f>HF289</f>
        <v>-0.60000000000000009</v>
      </c>
      <c r="HK289" s="2294">
        <f>HB289</f>
        <v>-7.4999999999999991</v>
      </c>
      <c r="HL289" s="2294">
        <f>SUM(HE289:HF289)</f>
        <v>-3.4</v>
      </c>
      <c r="HM289" s="2294">
        <f>SUM(HA289:HB289)</f>
        <v>-10.199999999999999</v>
      </c>
      <c r="HN289" s="2110">
        <f>SUM(HC289:HF289)</f>
        <v>-25.300000000000004</v>
      </c>
      <c r="HO289" s="2294">
        <f>SUM(HA289:HD289)</f>
        <v>-32.1</v>
      </c>
      <c r="HP289" s="2000"/>
    </row>
    <row r="290" spans="202:224" x14ac:dyDescent="0.2">
      <c r="GU290" s="1146" t="s">
        <v>791</v>
      </c>
      <c r="GV290" s="396"/>
      <c r="GW290" s="2307">
        <f t="shared" si="866"/>
        <v>27.500000000000043</v>
      </c>
      <c r="GX290" s="2307">
        <f t="shared" si="866"/>
        <v>41.600000000000051</v>
      </c>
      <c r="GY290" s="2307">
        <f t="shared" si="866"/>
        <v>18.799999999999816</v>
      </c>
      <c r="GZ290" s="2307">
        <f t="shared" si="866"/>
        <v>12.20000000000023</v>
      </c>
      <c r="HA290" s="2307">
        <f t="shared" si="866"/>
        <v>43.400000000000105</v>
      </c>
      <c r="HB290" s="2307">
        <f t="shared" si="866"/>
        <v>18.099999999999856</v>
      </c>
      <c r="HC290" s="2307">
        <f t="shared" si="866"/>
        <v>17.700000000000092</v>
      </c>
      <c r="HD290" s="2307">
        <f t="shared" si="866"/>
        <v>-1.0999999999999055</v>
      </c>
      <c r="HE290" s="2307">
        <f t="shared" si="866"/>
        <v>33.999999999999986</v>
      </c>
      <c r="HF290" s="2307">
        <f t="shared" si="866"/>
        <v>70.000000000000071</v>
      </c>
      <c r="HG290" s="2307">
        <f t="shared" si="866"/>
        <v>-24.800000000000047</v>
      </c>
      <c r="HH290" s="2307">
        <f t="shared" si="866"/>
        <v>-1.0999999999999055</v>
      </c>
      <c r="HJ290" s="2274">
        <f>HF290</f>
        <v>70.000000000000071</v>
      </c>
      <c r="HK290" s="2274">
        <f>HB290</f>
        <v>18.099999999999856</v>
      </c>
      <c r="HL290" s="2274">
        <f>SUM(HE290:HF290)</f>
        <v>104.00000000000006</v>
      </c>
      <c r="HM290" s="2274">
        <f>SUM(HA290:HB290)</f>
        <v>61.499999999999957</v>
      </c>
      <c r="HN290" s="2109">
        <f>SUM(HC290:HF290)</f>
        <v>120.60000000000025</v>
      </c>
      <c r="HO290" s="2274">
        <f>SUM(HA290:HD290)</f>
        <v>78.100000000000136</v>
      </c>
      <c r="HP290" s="2000" t="s">
        <v>793</v>
      </c>
    </row>
    <row r="291" spans="202:224" ht="12" customHeight="1" x14ac:dyDescent="0.2">
      <c r="GU291" s="264"/>
      <c r="GW291" s="439"/>
      <c r="GX291" s="439"/>
      <c r="GY291" s="439"/>
      <c r="GZ291" s="439"/>
      <c r="HA291" s="439"/>
      <c r="HB291" s="439"/>
      <c r="HC291" s="439"/>
      <c r="HD291" s="439"/>
      <c r="HE291" s="439"/>
      <c r="HF291" s="439"/>
      <c r="HG291" s="439"/>
      <c r="HH291" s="439"/>
      <c r="HJ291" s="264"/>
      <c r="HK291" s="264"/>
      <c r="HL291" s="264"/>
      <c r="HM291" s="264"/>
      <c r="HN291" s="1342"/>
      <c r="HO291" s="264"/>
      <c r="HP291" s="2009"/>
    </row>
    <row r="292" spans="202:224" x14ac:dyDescent="0.2">
      <c r="GU292" s="264" t="str">
        <f>GU23</f>
        <v>Genomsnittligt antal aktier, tusental (Ingen utspädning finns)</v>
      </c>
      <c r="GV292" s="396"/>
      <c r="GW292" s="1224">
        <f t="shared" ref="GW292:HH292" si="867">GW$23</f>
        <v>7399</v>
      </c>
      <c r="GX292" s="1224">
        <f t="shared" si="867"/>
        <v>7399</v>
      </c>
      <c r="GY292" s="1224">
        <f t="shared" si="867"/>
        <v>7399</v>
      </c>
      <c r="GZ292" s="1224">
        <f t="shared" si="867"/>
        <v>7399</v>
      </c>
      <c r="HA292" s="1224">
        <f t="shared" si="867"/>
        <v>7399</v>
      </c>
      <c r="HB292" s="1224">
        <f t="shared" si="867"/>
        <v>7399</v>
      </c>
      <c r="HC292" s="1224">
        <f t="shared" si="867"/>
        <v>7399</v>
      </c>
      <c r="HD292" s="1224">
        <f t="shared" si="867"/>
        <v>7399</v>
      </c>
      <c r="HE292" s="1224">
        <f t="shared" si="867"/>
        <v>7399</v>
      </c>
      <c r="HF292" s="1224">
        <f t="shared" si="867"/>
        <v>7399</v>
      </c>
      <c r="HG292" s="1224">
        <f t="shared" si="867"/>
        <v>7399</v>
      </c>
      <c r="HH292" s="1224">
        <f t="shared" si="867"/>
        <v>7399</v>
      </c>
      <c r="HJ292" s="1224">
        <f t="shared" ref="HJ292:HO292" si="868">HJ$23</f>
        <v>7399</v>
      </c>
      <c r="HK292" s="1224">
        <f t="shared" si="868"/>
        <v>7399</v>
      </c>
      <c r="HL292" s="1224">
        <f t="shared" si="868"/>
        <v>7399</v>
      </c>
      <c r="HM292" s="1224">
        <f t="shared" si="868"/>
        <v>7399</v>
      </c>
      <c r="HN292" s="2111">
        <f t="shared" si="868"/>
        <v>7399</v>
      </c>
      <c r="HO292" s="1224">
        <f t="shared" si="868"/>
        <v>7399</v>
      </c>
      <c r="HP292" s="2009"/>
    </row>
    <row r="293" spans="202:224" x14ac:dyDescent="0.2">
      <c r="GU293" s="264"/>
      <c r="GV293" s="396"/>
      <c r="GW293" s="1224"/>
      <c r="GX293" s="1224"/>
      <c r="GY293" s="1224"/>
      <c r="GZ293" s="1224"/>
      <c r="HA293" s="1224"/>
      <c r="HB293" s="1224"/>
      <c r="HC293" s="1224"/>
      <c r="HD293" s="1224"/>
      <c r="HE293" s="1224"/>
      <c r="HF293" s="1224"/>
      <c r="HG293" s="1224"/>
      <c r="HH293" s="1224"/>
      <c r="HJ293" s="1224"/>
      <c r="HK293" s="1224"/>
      <c r="HL293" s="1224"/>
      <c r="HM293" s="1224"/>
      <c r="HN293" s="2111"/>
      <c r="HO293" s="1224"/>
      <c r="HP293" s="2009"/>
    </row>
    <row r="294" spans="202:224" outlineLevel="1" x14ac:dyDescent="0.2">
      <c r="GU294" s="264" t="s">
        <v>794</v>
      </c>
      <c r="GV294" s="396"/>
      <c r="GW294" s="1140">
        <f t="shared" ref="GW294" si="869">((GW288-GW286)*1000)/GW292</f>
        <v>-0.28382213812677387</v>
      </c>
      <c r="GX294" s="1140">
        <f t="shared" ref="GX294:HH294" si="870">((GX288-GX286)*1000)/GX292</f>
        <v>-0.2973374780375726</v>
      </c>
      <c r="GY294" s="1140">
        <f t="shared" si="870"/>
        <v>-0.28382213812677393</v>
      </c>
      <c r="GZ294" s="1140">
        <f t="shared" si="870"/>
        <v>0</v>
      </c>
      <c r="HA294" s="1140">
        <f t="shared" si="870"/>
        <v>6.0143262603054604</v>
      </c>
      <c r="HB294" s="1140">
        <f t="shared" si="870"/>
        <v>3.2707122584132793</v>
      </c>
      <c r="HC294" s="1140">
        <f t="shared" si="870"/>
        <v>3.1625895391269219</v>
      </c>
      <c r="HD294" s="1140">
        <f t="shared" si="870"/>
        <v>1.8245708879578446</v>
      </c>
      <c r="HE294" s="1140">
        <f t="shared" si="870"/>
        <v>4.8249763481551531</v>
      </c>
      <c r="HF294" s="1140">
        <f t="shared" si="870"/>
        <v>9.3390998783619494</v>
      </c>
      <c r="HG294" s="1140">
        <f t="shared" si="870"/>
        <v>-1.7164481686714483</v>
      </c>
      <c r="HH294" s="1140">
        <f t="shared" si="870"/>
        <v>1.8245708879578446</v>
      </c>
      <c r="HJ294" s="1140">
        <f>((HJ288-HJ286)*1000)/HJ292</f>
        <v>9.3390998783619494</v>
      </c>
      <c r="HK294" s="1140">
        <f t="shared" ref="HK294:HO294" si="871">((HK288-HK286)*1000)/HK292</f>
        <v>3.2707122584132793</v>
      </c>
      <c r="HL294" s="1140">
        <f t="shared" si="871"/>
        <v>14.164076226517105</v>
      </c>
      <c r="HM294" s="1140">
        <f t="shared" si="871"/>
        <v>9.2850385187187392</v>
      </c>
      <c r="HN294" s="2112">
        <f>((HN288-HN286)*1000)/HN292</f>
        <v>19.15123665360187</v>
      </c>
      <c r="HO294" s="1140">
        <f t="shared" si="871"/>
        <v>14.272198945803508</v>
      </c>
      <c r="HP294" s="2009"/>
    </row>
    <row r="295" spans="202:224" outlineLevel="1" x14ac:dyDescent="0.2">
      <c r="GU295" s="1145" t="s">
        <v>795</v>
      </c>
      <c r="GV295" s="396"/>
      <c r="GW295" s="1142">
        <f t="shared" ref="GW295" si="872">(GW289*1000)/GW292</f>
        <v>0</v>
      </c>
      <c r="GX295" s="1142">
        <f t="shared" ref="GX295:HH295" si="873">(GX289*1000)/GX292</f>
        <v>0</v>
      </c>
      <c r="GY295" s="1142">
        <f t="shared" si="873"/>
        <v>0</v>
      </c>
      <c r="GZ295" s="1142">
        <f t="shared" si="873"/>
        <v>0</v>
      </c>
      <c r="HA295" s="1142">
        <f t="shared" si="873"/>
        <v>-0.36491417759156641</v>
      </c>
      <c r="HB295" s="1142">
        <f t="shared" si="873"/>
        <v>-1.0136504933099066</v>
      </c>
      <c r="HC295" s="1142">
        <f t="shared" si="873"/>
        <v>-0.87849709420191968</v>
      </c>
      <c r="HD295" s="1142">
        <f t="shared" si="873"/>
        <v>-2.0813623462630084</v>
      </c>
      <c r="HE295" s="1142">
        <f t="shared" si="873"/>
        <v>-0.3784295175023652</v>
      </c>
      <c r="HF295" s="1142">
        <f t="shared" si="873"/>
        <v>-8.1092039464792556E-2</v>
      </c>
      <c r="HG295" s="1142">
        <f t="shared" si="873"/>
        <v>-1.7975402081362348</v>
      </c>
      <c r="HH295" s="1142">
        <f t="shared" si="873"/>
        <v>-2.0813623462630084</v>
      </c>
      <c r="HJ295" s="1142">
        <f t="shared" ref="HJ295:HO295" si="874">(HJ289*1000)/HJ292</f>
        <v>-8.1092039464792556E-2</v>
      </c>
      <c r="HK295" s="1142">
        <f t="shared" si="874"/>
        <v>-1.0136504933099066</v>
      </c>
      <c r="HL295" s="1142">
        <f t="shared" si="874"/>
        <v>-0.45952155696715774</v>
      </c>
      <c r="HM295" s="1142">
        <f t="shared" si="874"/>
        <v>-1.3785646709014732</v>
      </c>
      <c r="HN295" s="2113">
        <f t="shared" si="874"/>
        <v>-3.4193809974320861</v>
      </c>
      <c r="HO295" s="1142">
        <f t="shared" si="874"/>
        <v>-4.3384241113664013</v>
      </c>
      <c r="HP295" s="2009"/>
    </row>
    <row r="296" spans="202:224" outlineLevel="1" x14ac:dyDescent="0.2">
      <c r="GU296" s="1146" t="s">
        <v>796</v>
      </c>
      <c r="GV296" s="401"/>
      <c r="GW296" s="1143">
        <f t="shared" ref="GW296" si="875">((GW290-GW286)*1000)/GW292</f>
        <v>3.4328963373428896</v>
      </c>
      <c r="GX296" s="1143">
        <f t="shared" ref="GX296:HH296" si="876">((GX290-GX286)*1000)/GX292</f>
        <v>5.3250439248547172</v>
      </c>
      <c r="GY296" s="1143">
        <f t="shared" si="876"/>
        <v>2.2570617651033671</v>
      </c>
      <c r="GZ296" s="1143">
        <f t="shared" si="876"/>
        <v>1.6488714691174795</v>
      </c>
      <c r="HA296" s="1143">
        <f t="shared" si="876"/>
        <v>5.6494120827138943</v>
      </c>
      <c r="HB296" s="1143">
        <f t="shared" si="876"/>
        <v>2.2570617651033733</v>
      </c>
      <c r="HC296" s="1143">
        <f t="shared" si="876"/>
        <v>2.284092444925002</v>
      </c>
      <c r="HD296" s="1143">
        <f t="shared" si="876"/>
        <v>-0.25679145830516359</v>
      </c>
      <c r="HE296" s="1143">
        <f t="shared" si="876"/>
        <v>4.4465468306527889</v>
      </c>
      <c r="HF296" s="1143">
        <f t="shared" si="876"/>
        <v>9.2580078388971589</v>
      </c>
      <c r="HG296" s="1143">
        <f t="shared" si="876"/>
        <v>-3.5139883768076832</v>
      </c>
      <c r="HH296" s="1143">
        <f t="shared" si="876"/>
        <v>-0.25679145830516359</v>
      </c>
      <c r="HJ296" s="1143">
        <f t="shared" ref="HJ296:HO296" si="877">((HJ290-HJ286)*1000)/HJ292</f>
        <v>9.2580078388971589</v>
      </c>
      <c r="HK296" s="1143">
        <f t="shared" si="877"/>
        <v>2.2570617651033733</v>
      </c>
      <c r="HL296" s="1143">
        <f t="shared" si="877"/>
        <v>13.704554669549948</v>
      </c>
      <c r="HM296" s="1143">
        <f t="shared" si="877"/>
        <v>7.9064738478172671</v>
      </c>
      <c r="HN296" s="1580">
        <f t="shared" si="877"/>
        <v>15.731855656169786</v>
      </c>
      <c r="HO296" s="1143">
        <f t="shared" si="877"/>
        <v>9.9337748344371057</v>
      </c>
      <c r="HP296" s="2000"/>
    </row>
    <row r="297" spans="202:224" outlineLevel="1" x14ac:dyDescent="0.2">
      <c r="GV297" s="396"/>
      <c r="HP297" s="2009"/>
    </row>
    <row r="298" spans="202:224" outlineLevel="1" x14ac:dyDescent="0.2">
      <c r="HP298" s="2009"/>
    </row>
    <row r="299" spans="202:224" outlineLevel="1" x14ac:dyDescent="0.2">
      <c r="HP299" s="2009"/>
    </row>
    <row r="300" spans="202:224" ht="15.75" outlineLevel="1" x14ac:dyDescent="0.25">
      <c r="GU300" s="429" t="s">
        <v>435</v>
      </c>
      <c r="GW300" s="242"/>
      <c r="GX300" s="242"/>
      <c r="HF300" s="1286"/>
      <c r="HP300" s="2006"/>
    </row>
    <row r="301" spans="202:224" outlineLevel="1" x14ac:dyDescent="0.2">
      <c r="HP301" s="2009"/>
    </row>
    <row r="302" spans="202:224" outlineLevel="1" x14ac:dyDescent="0.2">
      <c r="GU302" s="256"/>
      <c r="GV302" s="2319"/>
      <c r="GW302" s="214">
        <f t="shared" ref="GW302:HH302" si="878">GW$28</f>
        <v>2403</v>
      </c>
      <c r="GX302" s="214">
        <f t="shared" si="878"/>
        <v>2406</v>
      </c>
      <c r="GY302" s="214">
        <f t="shared" si="878"/>
        <v>2409</v>
      </c>
      <c r="GZ302" s="214">
        <f t="shared" si="878"/>
        <v>2412</v>
      </c>
      <c r="HA302" s="214">
        <f t="shared" si="878"/>
        <v>2503</v>
      </c>
      <c r="HB302" s="214">
        <f t="shared" si="878"/>
        <v>2506</v>
      </c>
      <c r="HC302" s="214">
        <f t="shared" si="878"/>
        <v>2509</v>
      </c>
      <c r="HD302" s="214">
        <f t="shared" si="878"/>
        <v>2512</v>
      </c>
      <c r="HE302" s="214">
        <f t="shared" si="878"/>
        <v>2603</v>
      </c>
      <c r="HF302" s="214">
        <f t="shared" si="878"/>
        <v>2606</v>
      </c>
      <c r="HG302" s="214">
        <f t="shared" si="878"/>
        <v>2609</v>
      </c>
      <c r="HH302" s="214">
        <f t="shared" si="878"/>
        <v>2612</v>
      </c>
      <c r="HJ302" s="214" t="str">
        <f t="shared" ref="HJ302:HO302" si="879">HJ$10</f>
        <v>Kvartal 2</v>
      </c>
      <c r="HK302" s="214" t="str">
        <f t="shared" si="879"/>
        <v>Kvartal 2</v>
      </c>
      <c r="HL302" s="214" t="str">
        <f t="shared" si="879"/>
        <v>Kvartal 1-2</v>
      </c>
      <c r="HM302" s="214" t="str">
        <f t="shared" si="879"/>
        <v>Kvartal 1-2</v>
      </c>
      <c r="HN302" s="214" t="str">
        <f t="shared" si="879"/>
        <v>Kvartal 2, R12</v>
      </c>
      <c r="HO302" s="214" t="str">
        <f t="shared" si="879"/>
        <v>Helår</v>
      </c>
      <c r="HP302" s="2007"/>
    </row>
    <row r="303" spans="202:224" outlineLevel="1" x14ac:dyDescent="0.2">
      <c r="GU303" s="1581"/>
      <c r="GV303" s="2319"/>
      <c r="GW303" s="1124"/>
      <c r="GX303" s="1124"/>
      <c r="GY303" s="1124"/>
      <c r="GZ303" s="1124"/>
      <c r="HA303" s="1124"/>
      <c r="HB303" s="1124"/>
      <c r="HC303" s="1124"/>
      <c r="HD303" s="1124"/>
      <c r="HE303" s="1124"/>
      <c r="HF303" s="1124"/>
      <c r="HG303" s="1124"/>
      <c r="HH303" s="1124"/>
      <c r="HJ303" s="1124">
        <f t="shared" ref="HJ303:HO303" si="880">HJ$11</f>
        <v>2026</v>
      </c>
      <c r="HK303" s="1124">
        <f t="shared" si="880"/>
        <v>2025</v>
      </c>
      <c r="HL303" s="1124">
        <f t="shared" si="880"/>
        <v>2026</v>
      </c>
      <c r="HM303" s="1124">
        <f t="shared" si="880"/>
        <v>2025</v>
      </c>
      <c r="HN303" s="1124">
        <f t="shared" si="880"/>
        <v>2026</v>
      </c>
      <c r="HO303" s="1124">
        <f t="shared" si="880"/>
        <v>2025</v>
      </c>
      <c r="HP303" s="2007"/>
    </row>
    <row r="304" spans="202:224" x14ac:dyDescent="0.2">
      <c r="GT304" s="1489" t="s">
        <v>805</v>
      </c>
      <c r="GU304" s="264" t="s">
        <v>798</v>
      </c>
      <c r="GV304" s="2319"/>
      <c r="GW304" s="1140"/>
      <c r="GX304" s="1140"/>
      <c r="GY304" s="1140"/>
      <c r="GZ304" s="1140">
        <v>2.2999999999999998</v>
      </c>
      <c r="HA304" s="1140">
        <v>-6.1</v>
      </c>
      <c r="HB304" s="1140">
        <v>-2.5</v>
      </c>
      <c r="HC304" s="1140">
        <v>5.3</v>
      </c>
      <c r="HD304" s="1140">
        <v>7.2</v>
      </c>
      <c r="HE304" s="1140">
        <v>28.8</v>
      </c>
      <c r="HF304" s="1140">
        <v>2.2000000000000002</v>
      </c>
      <c r="HG304" s="1140"/>
      <c r="HH304" s="1140"/>
      <c r="HJ304" s="264"/>
      <c r="HK304" s="264"/>
      <c r="HL304" s="264"/>
      <c r="HM304" s="264"/>
      <c r="HN304" s="264"/>
      <c r="HO304" s="264"/>
      <c r="HP304" s="2009"/>
    </row>
    <row r="305" spans="202:224" x14ac:dyDescent="0.2">
      <c r="GT305" s="1489" t="str">
        <f>$GT$304</f>
        <v>[A] RAN + IFRS</v>
      </c>
      <c r="GU305" s="1147" t="s">
        <v>811</v>
      </c>
      <c r="GV305" s="2319"/>
      <c r="GW305" s="1583"/>
      <c r="GX305" s="1583"/>
      <c r="GY305" s="1583"/>
      <c r="GZ305" s="1583">
        <v>0.5</v>
      </c>
      <c r="HA305" s="1583">
        <v>0.5</v>
      </c>
      <c r="HB305" s="1583">
        <v>0.5</v>
      </c>
      <c r="HC305" s="1583">
        <v>0.5</v>
      </c>
      <c r="HD305" s="1583">
        <v>0.5</v>
      </c>
      <c r="HE305" s="1583">
        <v>0.5</v>
      </c>
      <c r="HF305" s="1583">
        <v>0.5</v>
      </c>
      <c r="HG305" s="1583">
        <v>0.5</v>
      </c>
      <c r="HH305" s="1583">
        <v>0.5</v>
      </c>
      <c r="HJ305" s="1145"/>
      <c r="HK305" s="1145"/>
      <c r="HL305" s="1145"/>
      <c r="HM305" s="1145"/>
      <c r="HN305" s="1145"/>
      <c r="HO305" s="1145"/>
      <c r="HP305" s="2009"/>
    </row>
    <row r="306" spans="202:224" x14ac:dyDescent="0.2">
      <c r="GT306" s="1489" t="str">
        <f>$GT$304</f>
        <v>[A] RAN + IFRS</v>
      </c>
      <c r="GU306" s="1957" t="s">
        <v>808</v>
      </c>
      <c r="GV306" s="2319"/>
      <c r="GW306" s="1571"/>
      <c r="GX306" s="1571"/>
      <c r="GY306" s="1571"/>
      <c r="GZ306" s="1571">
        <f>GZ304*GZ305</f>
        <v>1.1499999999999999</v>
      </c>
      <c r="HA306" s="1571">
        <f>HA304*HA305</f>
        <v>-3.05</v>
      </c>
      <c r="HB306" s="1571">
        <f t="shared" ref="HB306:HH306" si="881">HB304*HB305</f>
        <v>-1.25</v>
      </c>
      <c r="HC306" s="1571">
        <f t="shared" si="881"/>
        <v>2.65</v>
      </c>
      <c r="HD306" s="1571">
        <f t="shared" si="881"/>
        <v>3.6</v>
      </c>
      <c r="HE306" s="1571">
        <f t="shared" si="881"/>
        <v>14.4</v>
      </c>
      <c r="HF306" s="1571">
        <f t="shared" si="881"/>
        <v>1.1000000000000001</v>
      </c>
      <c r="HG306" s="1571">
        <f t="shared" si="881"/>
        <v>0</v>
      </c>
      <c r="HH306" s="1571">
        <f t="shared" si="881"/>
        <v>0</v>
      </c>
      <c r="HJ306" s="444"/>
      <c r="HK306" s="444"/>
      <c r="HL306" s="444"/>
      <c r="HM306" s="444"/>
      <c r="HN306" s="444"/>
      <c r="HO306" s="444"/>
      <c r="HP306" s="2000"/>
    </row>
    <row r="307" spans="202:224" outlineLevel="1" x14ac:dyDescent="0.2">
      <c r="GT307" s="1489"/>
      <c r="GU307" s="1584"/>
      <c r="GV307" s="2319"/>
      <c r="GW307" s="1570"/>
      <c r="GX307" s="1570"/>
      <c r="GY307" s="1570"/>
      <c r="GZ307" s="1570"/>
      <c r="HA307" s="1570"/>
      <c r="HB307" s="1570"/>
      <c r="HC307" s="1570"/>
      <c r="HD307" s="1570"/>
      <c r="HE307" s="1570"/>
      <c r="HF307" s="1570"/>
      <c r="HG307" s="1570"/>
      <c r="HH307" s="1570"/>
      <c r="HJ307" s="1223"/>
      <c r="HK307" s="1223"/>
      <c r="HL307" s="1223"/>
      <c r="HM307" s="1223"/>
      <c r="HN307" s="1223"/>
      <c r="HO307" s="1223"/>
      <c r="HP307" s="2009"/>
    </row>
    <row r="308" spans="202:224" outlineLevel="1" x14ac:dyDescent="0.2">
      <c r="GT308" s="1489" t="str">
        <f>$GT$304</f>
        <v>[A] RAN + IFRS</v>
      </c>
      <c r="GU308" s="1584" t="s">
        <v>809</v>
      </c>
      <c r="GV308" s="2319"/>
      <c r="GW308" s="1572"/>
      <c r="GX308" s="1572"/>
      <c r="GY308" s="1572"/>
      <c r="GZ308" s="1572">
        <f>GY304*(1-GY305)</f>
        <v>0</v>
      </c>
      <c r="HA308" s="1572">
        <f>GZ304*(1-GZ305)</f>
        <v>1.1499999999999999</v>
      </c>
      <c r="HB308" s="1572">
        <f t="shared" ref="HB308:HD308" si="882">HA304*(1-HA305)</f>
        <v>-3.05</v>
      </c>
      <c r="HC308" s="1572">
        <f t="shared" si="882"/>
        <v>-1.25</v>
      </c>
      <c r="HD308" s="1572">
        <f t="shared" si="882"/>
        <v>2.65</v>
      </c>
      <c r="HE308" s="1569"/>
      <c r="HF308" s="1572">
        <f>HE304*(1-HE305)</f>
        <v>14.4</v>
      </c>
      <c r="HG308" s="1572">
        <f>HF304*(1-HF305)</f>
        <v>1.1000000000000001</v>
      </c>
      <c r="HH308" s="1572">
        <f>HG304*(1-HG305)</f>
        <v>0</v>
      </c>
      <c r="HJ308" s="1223"/>
      <c r="HK308" s="1223"/>
      <c r="HL308" s="1223"/>
      <c r="HM308" s="1223"/>
      <c r="HN308" s="1223"/>
      <c r="HO308" s="1223"/>
      <c r="HP308" s="2009"/>
    </row>
    <row r="309" spans="202:224" ht="12" outlineLevel="1" thickBot="1" x14ac:dyDescent="0.25">
      <c r="GT309" s="1489" t="str">
        <f>$GT$304</f>
        <v>[A] RAN + IFRS</v>
      </c>
      <c r="GU309" s="1585" t="s">
        <v>810</v>
      </c>
      <c r="GV309" s="2319"/>
      <c r="GW309" s="1573">
        <f t="shared" ref="GW309:HH309" si="883">GW306+GW308</f>
        <v>0</v>
      </c>
      <c r="GX309" s="1573">
        <f t="shared" si="883"/>
        <v>0</v>
      </c>
      <c r="GY309" s="1573">
        <f t="shared" si="883"/>
        <v>0</v>
      </c>
      <c r="GZ309" s="1573">
        <f t="shared" si="883"/>
        <v>1.1499999999999999</v>
      </c>
      <c r="HA309" s="1573">
        <f t="shared" si="883"/>
        <v>-1.9</v>
      </c>
      <c r="HB309" s="1573">
        <f t="shared" si="883"/>
        <v>-4.3</v>
      </c>
      <c r="HC309" s="1573">
        <f t="shared" si="883"/>
        <v>1.4</v>
      </c>
      <c r="HD309" s="1573">
        <f t="shared" si="883"/>
        <v>6.25</v>
      </c>
      <c r="HE309" s="1573">
        <f t="shared" si="883"/>
        <v>14.4</v>
      </c>
      <c r="HF309" s="1573">
        <f t="shared" si="883"/>
        <v>15.5</v>
      </c>
      <c r="HG309" s="1573">
        <f t="shared" si="883"/>
        <v>1.1000000000000001</v>
      </c>
      <c r="HH309" s="1573">
        <f t="shared" si="883"/>
        <v>0</v>
      </c>
      <c r="HJ309" s="1285"/>
      <c r="HK309" s="1285"/>
      <c r="HL309" s="1285"/>
      <c r="HM309" s="1285"/>
      <c r="HN309" s="1285"/>
      <c r="HO309" s="1285"/>
      <c r="HP309" s="2000"/>
    </row>
    <row r="310" spans="202:224" ht="12" thickTop="1" x14ac:dyDescent="0.2">
      <c r="GT310" s="1489"/>
      <c r="GV310" s="2319"/>
      <c r="HP310" s="2009"/>
    </row>
    <row r="311" spans="202:224" x14ac:dyDescent="0.2">
      <c r="GT311" s="1489" t="str">
        <f>$GT$304</f>
        <v>[A] RAN + IFRS</v>
      </c>
      <c r="GU311" s="264" t="s">
        <v>436</v>
      </c>
      <c r="GV311" s="2319"/>
      <c r="GW311" s="1582">
        <v>-0.20599999999999999</v>
      </c>
      <c r="GX311" s="1582">
        <v>-0.20599999999999999</v>
      </c>
      <c r="GY311" s="1582">
        <v>-0.20599999999999999</v>
      </c>
      <c r="GZ311" s="1582">
        <v>-0.20599999999999999</v>
      </c>
      <c r="HA311" s="1582">
        <v>-0.20599999999999999</v>
      </c>
      <c r="HB311" s="1582">
        <v>-0.20599999999999999</v>
      </c>
      <c r="HC311" s="1582">
        <v>-0.20599999999999999</v>
      </c>
      <c r="HD311" s="1582">
        <v>-0.20599999999999999</v>
      </c>
      <c r="HE311" s="1582">
        <v>-0.20599999999999999</v>
      </c>
      <c r="HF311" s="1582">
        <v>-0.20599999999999999</v>
      </c>
      <c r="HG311" s="1582">
        <v>-0.20599999999999999</v>
      </c>
      <c r="HH311" s="1582">
        <v>-0.20599999999999999</v>
      </c>
      <c r="HJ311" s="264"/>
      <c r="HK311" s="264"/>
      <c r="HL311" s="264"/>
      <c r="HM311" s="264"/>
      <c r="HN311" s="264"/>
      <c r="HO311" s="264"/>
      <c r="HP311" s="2009"/>
    </row>
    <row r="312" spans="202:224" x14ac:dyDescent="0.2">
      <c r="GT312" s="1489"/>
      <c r="GV312" s="2319"/>
      <c r="GW312" s="242"/>
      <c r="GX312" s="242"/>
      <c r="GY312" s="242"/>
      <c r="GZ312" s="242"/>
      <c r="HA312" s="242"/>
      <c r="HB312" s="242"/>
      <c r="HE312" s="242"/>
      <c r="HG312" s="242"/>
      <c r="HH312" s="242"/>
      <c r="HP312" s="2009"/>
    </row>
    <row r="313" spans="202:224" x14ac:dyDescent="0.2">
      <c r="GT313" s="1489" t="str">
        <f>$GT$304</f>
        <v>[A] RAN + IFRS</v>
      </c>
      <c r="GU313" s="1223" t="s">
        <v>800</v>
      </c>
      <c r="GV313" s="2319"/>
      <c r="GW313" s="1570">
        <f t="shared" ref="GW313:HH313" si="884">GW309*(1+GW311)</f>
        <v>0</v>
      </c>
      <c r="GX313" s="1570">
        <f t="shared" si="884"/>
        <v>0</v>
      </c>
      <c r="GY313" s="1570">
        <f t="shared" si="884"/>
        <v>0</v>
      </c>
      <c r="GZ313" s="1570">
        <f t="shared" si="884"/>
        <v>0.91310000000000002</v>
      </c>
      <c r="HA313" s="1570">
        <f t="shared" si="884"/>
        <v>-1.5085999999999999</v>
      </c>
      <c r="HB313" s="1570">
        <f t="shared" si="884"/>
        <v>-3.4142000000000001</v>
      </c>
      <c r="HC313" s="1570">
        <f t="shared" si="884"/>
        <v>1.1115999999999999</v>
      </c>
      <c r="HD313" s="1570">
        <f t="shared" si="884"/>
        <v>4.9625000000000004</v>
      </c>
      <c r="HE313" s="1570">
        <f t="shared" si="884"/>
        <v>11.4336</v>
      </c>
      <c r="HF313" s="1570">
        <f t="shared" si="884"/>
        <v>12.307</v>
      </c>
      <c r="HG313" s="1570">
        <f t="shared" si="884"/>
        <v>0.87340000000000007</v>
      </c>
      <c r="HH313" s="1570">
        <f t="shared" si="884"/>
        <v>0</v>
      </c>
      <c r="HJ313" s="1223"/>
      <c r="HK313" s="1223"/>
      <c r="HL313" s="1223"/>
      <c r="HM313" s="1223"/>
      <c r="HN313" s="1223"/>
      <c r="HO313" s="1223"/>
      <c r="HP313" s="2009"/>
    </row>
    <row r="314" spans="202:224" x14ac:dyDescent="0.2">
      <c r="GT314" s="1489" t="str">
        <f>$GT$304</f>
        <v>[A] RAN + IFRS</v>
      </c>
      <c r="GU314" s="1223" t="s">
        <v>799</v>
      </c>
      <c r="GV314" s="2319"/>
      <c r="GW314" s="1570">
        <f>SUM(GW313)</f>
        <v>0</v>
      </c>
      <c r="GX314" s="1570">
        <f>SUM(GW313:GX313)</f>
        <v>0</v>
      </c>
      <c r="GY314" s="1570">
        <f>SUM(GW313:GY313)</f>
        <v>0</v>
      </c>
      <c r="GZ314" s="1570">
        <f>SUM(GW313:GZ313)</f>
        <v>0.91310000000000002</v>
      </c>
      <c r="HA314" s="1570">
        <f>SUM(HA313)</f>
        <v>-1.5085999999999999</v>
      </c>
      <c r="HB314" s="1570">
        <f>SUM(HA313:HB313)</f>
        <v>-4.9228000000000005</v>
      </c>
      <c r="HC314" s="1570">
        <f>SUM(HA313:HC313)</f>
        <v>-3.8112000000000004</v>
      </c>
      <c r="HD314" s="1570">
        <f>SUM(HA313:HD313)</f>
        <v>1.1513</v>
      </c>
      <c r="HE314" s="1570">
        <f>SUM(HE313)</f>
        <v>11.4336</v>
      </c>
      <c r="HF314" s="1570">
        <f>SUM(HE313:HF313)</f>
        <v>23.740600000000001</v>
      </c>
      <c r="HG314" s="1570">
        <f>SUM(HE313:HG313)</f>
        <v>24.614000000000001</v>
      </c>
      <c r="HH314" s="1570">
        <f>SUM(HE313:HH313)</f>
        <v>24.614000000000001</v>
      </c>
      <c r="HJ314" s="1223"/>
      <c r="HK314" s="1223"/>
      <c r="HL314" s="1223"/>
      <c r="HM314" s="1223"/>
      <c r="HN314" s="1223"/>
      <c r="HO314" s="1223"/>
      <c r="HP314" s="2009"/>
    </row>
    <row r="315" spans="202:224" outlineLevel="1" x14ac:dyDescent="0.2">
      <c r="GT315" s="263"/>
      <c r="GV315" s="2319"/>
      <c r="HP315" s="2009"/>
    </row>
    <row r="316" spans="202:224" outlineLevel="1" x14ac:dyDescent="0.2">
      <c r="GT316" s="1489" t="str">
        <f>$GT$304</f>
        <v>[A] RAN + IFRS</v>
      </c>
      <c r="GU316" s="1223" t="s">
        <v>867</v>
      </c>
      <c r="GV316" s="2319"/>
      <c r="GW316" s="1579">
        <f t="shared" ref="GW316:HH316" si="885">GW252</f>
        <v>4</v>
      </c>
      <c r="GX316" s="1579">
        <f t="shared" si="885"/>
        <v>2</v>
      </c>
      <c r="GY316" s="1579">
        <f t="shared" si="885"/>
        <v>1.3333299999999999</v>
      </c>
      <c r="GZ316" s="1579">
        <f t="shared" si="885"/>
        <v>1</v>
      </c>
      <c r="HA316" s="1579">
        <f t="shared" si="885"/>
        <v>4</v>
      </c>
      <c r="HB316" s="1579">
        <f t="shared" si="885"/>
        <v>2</v>
      </c>
      <c r="HC316" s="1579">
        <f t="shared" si="885"/>
        <v>1.3333299999999999</v>
      </c>
      <c r="HD316" s="1579">
        <f t="shared" si="885"/>
        <v>1</v>
      </c>
      <c r="HE316" s="1579">
        <f t="shared" si="885"/>
        <v>4</v>
      </c>
      <c r="HF316" s="1579">
        <f t="shared" si="885"/>
        <v>2</v>
      </c>
      <c r="HG316" s="1579">
        <f t="shared" si="885"/>
        <v>1.3333299999999999</v>
      </c>
      <c r="HH316" s="1579">
        <f t="shared" si="885"/>
        <v>1</v>
      </c>
      <c r="HJ316" s="1223"/>
      <c r="HK316" s="1223"/>
      <c r="HL316" s="1223"/>
      <c r="HM316" s="1223"/>
      <c r="HN316" s="1223"/>
      <c r="HO316" s="1223"/>
      <c r="HP316" s="2009"/>
    </row>
    <row r="317" spans="202:224" ht="12" outlineLevel="1" thickBot="1" x14ac:dyDescent="0.25">
      <c r="GT317" s="1489" t="str">
        <f>$GT$304</f>
        <v>[A] RAN + IFRS</v>
      </c>
      <c r="GU317" s="1585" t="s">
        <v>868</v>
      </c>
      <c r="GV317" s="2319"/>
      <c r="GW317" s="1573">
        <f t="shared" ref="GW317:HH317" si="886">GW314*GW316</f>
        <v>0</v>
      </c>
      <c r="GX317" s="1573">
        <f t="shared" si="886"/>
        <v>0</v>
      </c>
      <c r="GY317" s="1573">
        <f t="shared" si="886"/>
        <v>0</v>
      </c>
      <c r="GZ317" s="1573">
        <f t="shared" si="886"/>
        <v>0.91310000000000002</v>
      </c>
      <c r="HA317" s="1573">
        <f t="shared" si="886"/>
        <v>-6.0343999999999998</v>
      </c>
      <c r="HB317" s="1573">
        <f t="shared" si="886"/>
        <v>-9.845600000000001</v>
      </c>
      <c r="HC317" s="1573">
        <f t="shared" si="886"/>
        <v>-5.0815872960000004</v>
      </c>
      <c r="HD317" s="1573">
        <f t="shared" si="886"/>
        <v>1.1513</v>
      </c>
      <c r="HE317" s="1573">
        <f t="shared" si="886"/>
        <v>45.734400000000001</v>
      </c>
      <c r="HF317" s="1573">
        <f t="shared" si="886"/>
        <v>47.481200000000001</v>
      </c>
      <c r="HG317" s="1573">
        <f t="shared" si="886"/>
        <v>32.818584619999996</v>
      </c>
      <c r="HH317" s="1573">
        <f t="shared" si="886"/>
        <v>24.614000000000001</v>
      </c>
      <c r="HJ317" s="1285"/>
      <c r="HK317" s="1285"/>
      <c r="HL317" s="1285"/>
      <c r="HM317" s="1285"/>
      <c r="HN317" s="1285"/>
      <c r="HO317" s="1285"/>
      <c r="HP317" s="2000"/>
    </row>
    <row r="318" spans="202:224" ht="12" thickTop="1" x14ac:dyDescent="0.2">
      <c r="GT318" s="263"/>
      <c r="HP318" s="2009"/>
    </row>
    <row r="319" spans="202:224" x14ac:dyDescent="0.2">
      <c r="GT319" s="263"/>
      <c r="HH319" s="2322" t="s">
        <v>906</v>
      </c>
      <c r="HI319" s="264"/>
      <c r="HJ319" s="2323">
        <f>HJ321-HJ320</f>
        <v>98.600000000000051</v>
      </c>
      <c r="HK319" s="2323">
        <f>HK321-HK320</f>
        <v>67.499999999999844</v>
      </c>
      <c r="HL319" s="2323">
        <f>HL321-HL320</f>
        <v>156.60000000000005</v>
      </c>
      <c r="HM319" s="2323">
        <f>HM321-HM320</f>
        <v>148.79999999999993</v>
      </c>
      <c r="HN319" s="2323"/>
      <c r="HO319" s="2323"/>
      <c r="HP319" s="2009"/>
    </row>
    <row r="320" spans="202:224" ht="4.5" customHeight="1" x14ac:dyDescent="0.2">
      <c r="GT320" s="263"/>
      <c r="HH320" s="2324" t="s">
        <v>439</v>
      </c>
      <c r="HI320" s="264"/>
      <c r="HJ320" s="2325">
        <f>HF309</f>
        <v>15.5</v>
      </c>
      <c r="HK320" s="2325">
        <f>HB309</f>
        <v>-4.3</v>
      </c>
      <c r="HL320" s="2325">
        <f>SUM(HE309:HF309)</f>
        <v>29.9</v>
      </c>
      <c r="HM320" s="2325">
        <f>SUM(HA309:HB309)</f>
        <v>-6.1999999999999993</v>
      </c>
      <c r="HN320" s="2325"/>
      <c r="HO320" s="2325"/>
      <c r="HP320" s="2009"/>
    </row>
    <row r="321" spans="202:224" x14ac:dyDescent="0.2">
      <c r="GT321" s="263"/>
      <c r="HH321" s="2326" t="s">
        <v>229</v>
      </c>
      <c r="HI321" s="2327"/>
      <c r="HJ321" s="2328">
        <f t="shared" ref="HJ321:HO321" si="887">HJ13</f>
        <v>114.10000000000005</v>
      </c>
      <c r="HK321" s="2328">
        <f t="shared" si="887"/>
        <v>63.199999999999847</v>
      </c>
      <c r="HL321" s="2328">
        <f t="shared" si="887"/>
        <v>186.50000000000006</v>
      </c>
      <c r="HM321" s="2328">
        <f t="shared" si="887"/>
        <v>142.59999999999994</v>
      </c>
      <c r="HN321" s="2328">
        <f t="shared" si="887"/>
        <v>281.20000000000027</v>
      </c>
      <c r="HO321" s="2328">
        <f t="shared" si="887"/>
        <v>237.30000000000013</v>
      </c>
      <c r="HP321" s="2009"/>
    </row>
    <row r="322" spans="202:224" ht="15" x14ac:dyDescent="0.25">
      <c r="GT322" s="263"/>
      <c r="GU322" s="794" t="s">
        <v>155</v>
      </c>
      <c r="GW322" s="2233"/>
      <c r="GX322" s="2233"/>
      <c r="GY322" s="2233"/>
      <c r="GZ322" s="2233"/>
      <c r="HA322" s="2233"/>
      <c r="HB322" s="2233"/>
      <c r="HC322" s="2233"/>
      <c r="HD322" s="2233"/>
      <c r="HE322" s="2233"/>
      <c r="HF322" s="2233"/>
      <c r="HG322" s="2233"/>
      <c r="HH322" s="2233"/>
      <c r="HJ322" s="2200"/>
      <c r="HK322" s="2200"/>
      <c r="HL322" s="2200"/>
      <c r="HM322" s="2200"/>
      <c r="HN322" s="2200"/>
      <c r="HO322" s="2200"/>
      <c r="HP322" s="2009"/>
    </row>
    <row r="323" spans="202:224" outlineLevel="1" x14ac:dyDescent="0.2">
      <c r="GT323" s="263"/>
      <c r="HF323" s="244">
        <f>FR14</f>
        <v>186.50000000000006</v>
      </c>
      <c r="HG323" s="244">
        <f>HF323-HF314</f>
        <v>162.75940000000006</v>
      </c>
    </row>
    <row r="324" spans="202:224" outlineLevel="1" x14ac:dyDescent="0.2">
      <c r="GT324" s="263"/>
      <c r="GU324" s="256"/>
      <c r="GV324" s="2319"/>
      <c r="GW324" s="214">
        <f t="shared" ref="GW324:HH324" si="888">GW$28</f>
        <v>2403</v>
      </c>
      <c r="GX324" s="214">
        <f t="shared" si="888"/>
        <v>2406</v>
      </c>
      <c r="GY324" s="214">
        <f t="shared" si="888"/>
        <v>2409</v>
      </c>
      <c r="GZ324" s="214">
        <f t="shared" si="888"/>
        <v>2412</v>
      </c>
      <c r="HA324" s="214">
        <f t="shared" si="888"/>
        <v>2503</v>
      </c>
      <c r="HB324" s="214">
        <f t="shared" si="888"/>
        <v>2506</v>
      </c>
      <c r="HC324" s="214">
        <f t="shared" si="888"/>
        <v>2509</v>
      </c>
      <c r="HD324" s="214">
        <f t="shared" si="888"/>
        <v>2512</v>
      </c>
      <c r="HE324" s="214">
        <f t="shared" si="888"/>
        <v>2603</v>
      </c>
      <c r="HF324" s="214">
        <f t="shared" si="888"/>
        <v>2606</v>
      </c>
      <c r="HG324" s="214">
        <f t="shared" si="888"/>
        <v>2609</v>
      </c>
      <c r="HH324" s="214">
        <f t="shared" si="888"/>
        <v>2612</v>
      </c>
      <c r="HJ324" s="214" t="str">
        <f t="shared" ref="HJ324:HO324" si="889">HJ$10</f>
        <v>Kvartal 2</v>
      </c>
      <c r="HK324" s="214" t="str">
        <f t="shared" si="889"/>
        <v>Kvartal 2</v>
      </c>
      <c r="HL324" s="214" t="str">
        <f t="shared" si="889"/>
        <v>Kvartal 1-2</v>
      </c>
      <c r="HM324" s="214" t="str">
        <f t="shared" si="889"/>
        <v>Kvartal 1-2</v>
      </c>
      <c r="HN324" s="214" t="str">
        <f t="shared" si="889"/>
        <v>Kvartal 2, R12</v>
      </c>
      <c r="HO324" s="214" t="str">
        <f t="shared" si="889"/>
        <v>Helår</v>
      </c>
      <c r="HP324" s="2009"/>
    </row>
    <row r="325" spans="202:224" outlineLevel="1" x14ac:dyDescent="0.2">
      <c r="GT325" s="263"/>
      <c r="GU325" s="1581"/>
      <c r="GV325" s="2319"/>
      <c r="GW325" s="1124"/>
      <c r="GX325" s="1124"/>
      <c r="GY325" s="1124"/>
      <c r="GZ325" s="1124"/>
      <c r="HA325" s="1124"/>
      <c r="HB325" s="1124"/>
      <c r="HC325" s="1124"/>
      <c r="HD325" s="1124"/>
      <c r="HE325" s="1124"/>
      <c r="HF325" s="1124"/>
      <c r="HG325" s="1124"/>
      <c r="HH325" s="1124"/>
      <c r="HJ325" s="1124">
        <f t="shared" ref="HJ325:HO325" si="890">HJ$11</f>
        <v>2026</v>
      </c>
      <c r="HK325" s="1124">
        <f t="shared" si="890"/>
        <v>2025</v>
      </c>
      <c r="HL325" s="1124">
        <f t="shared" si="890"/>
        <v>2026</v>
      </c>
      <c r="HM325" s="1124">
        <f t="shared" si="890"/>
        <v>2025</v>
      </c>
      <c r="HN325" s="1124">
        <f t="shared" si="890"/>
        <v>2026</v>
      </c>
      <c r="HO325" s="1124">
        <f t="shared" si="890"/>
        <v>2025</v>
      </c>
      <c r="HP325" s="2009"/>
    </row>
    <row r="326" spans="202:224" outlineLevel="1" x14ac:dyDescent="0.2">
      <c r="GT326" s="263" t="s">
        <v>806</v>
      </c>
      <c r="GU326" s="2209" t="s">
        <v>898</v>
      </c>
      <c r="GV326" s="2320"/>
      <c r="GW326" s="2210">
        <f>GW$313</f>
        <v>0</v>
      </c>
      <c r="GX326" s="2210">
        <f>GX$313</f>
        <v>0</v>
      </c>
      <c r="GY326" s="2210">
        <f>GY$313</f>
        <v>0</v>
      </c>
      <c r="GZ326" s="2210">
        <f>GZ$313</f>
        <v>0.91310000000000002</v>
      </c>
      <c r="HA326" s="2210">
        <f t="shared" ref="HA326:HH326" si="891">HA$313</f>
        <v>-1.5085999999999999</v>
      </c>
      <c r="HB326" s="2210">
        <f t="shared" si="891"/>
        <v>-3.4142000000000001</v>
      </c>
      <c r="HC326" s="2210">
        <f t="shared" si="891"/>
        <v>1.1115999999999999</v>
      </c>
      <c r="HD326" s="2210">
        <f t="shared" si="891"/>
        <v>4.9625000000000004</v>
      </c>
      <c r="HE326" s="2210">
        <f t="shared" si="891"/>
        <v>11.4336</v>
      </c>
      <c r="HF326" s="2210">
        <f t="shared" si="891"/>
        <v>12.307</v>
      </c>
      <c r="HG326" s="2210">
        <f t="shared" si="891"/>
        <v>0.87340000000000007</v>
      </c>
      <c r="HH326" s="2210">
        <f t="shared" si="891"/>
        <v>0</v>
      </c>
      <c r="HJ326" s="2213">
        <f>HF326</f>
        <v>12.307</v>
      </c>
      <c r="HK326" s="2195">
        <f>HB326</f>
        <v>-3.4142000000000001</v>
      </c>
      <c r="HL326" s="2213">
        <f>SUM(HE326:HF326)</f>
        <v>23.740600000000001</v>
      </c>
      <c r="HM326" s="2195">
        <f>SUM(HA326:HB326)</f>
        <v>-4.9228000000000005</v>
      </c>
      <c r="HN326" s="2213">
        <f>SUM(HC326:HF326)</f>
        <v>29.814700000000002</v>
      </c>
      <c r="HO326" s="2195">
        <f>SUM(HA326:HD326)</f>
        <v>1.1513</v>
      </c>
      <c r="HP326" s="2009"/>
    </row>
    <row r="327" spans="202:224" outlineLevel="1" x14ac:dyDescent="0.2">
      <c r="GT327" s="263" t="str">
        <f>$GT$326</f>
        <v>[B] RAN</v>
      </c>
      <c r="GU327" s="2196" t="s">
        <v>899</v>
      </c>
      <c r="GV327" s="2319"/>
      <c r="GW327" s="2197">
        <f>GW328-GW326</f>
        <v>8.9741850000000127</v>
      </c>
      <c r="GX327" s="2197">
        <f>GX328-GX326</f>
        <v>23.583785000000042</v>
      </c>
      <c r="GY327" s="2197">
        <f>GY328-GY326</f>
        <v>0.39898499999985715</v>
      </c>
      <c r="GZ327" s="2197">
        <f>GZ328-GZ326</f>
        <v>-2.4991149999998177</v>
      </c>
      <c r="HA327" s="2197">
        <f t="shared" ref="HA327:HH327" si="892">HA328-HA326</f>
        <v>25.968950000000049</v>
      </c>
      <c r="HB327" s="2197">
        <f t="shared" si="892"/>
        <v>4.5159499999998394</v>
      </c>
      <c r="HC327" s="2197">
        <f t="shared" si="892"/>
        <v>-5.5454499999999358</v>
      </c>
      <c r="HD327" s="2197">
        <f t="shared" si="892"/>
        <v>-23.316549999999914</v>
      </c>
      <c r="HE327" s="2197">
        <f t="shared" si="892"/>
        <v>3.9134902519999795</v>
      </c>
      <c r="HF327" s="2197">
        <f t="shared" si="892"/>
        <v>36.966047664000087</v>
      </c>
      <c r="HG327" s="2197">
        <f t="shared" si="892"/>
        <v>-25.986400000000039</v>
      </c>
      <c r="HH327" s="2197">
        <f t="shared" si="892"/>
        <v>1.2776000000000778</v>
      </c>
      <c r="HJ327" s="2214">
        <f t="shared" ref="HJ327:HJ328" si="893">HF327</f>
        <v>36.966047664000087</v>
      </c>
      <c r="HK327" s="2197">
        <f t="shared" ref="HK327:HK328" si="894">HB327</f>
        <v>4.5159499999998394</v>
      </c>
      <c r="HL327" s="2214">
        <f t="shared" ref="HL327:HL328" si="895">SUM(HE327:HF327)</f>
        <v>40.879537916000068</v>
      </c>
      <c r="HM327" s="2197">
        <f t="shared" ref="HM327:HM328" si="896">SUM(HA327:HB327)</f>
        <v>30.48489999999989</v>
      </c>
      <c r="HN327" s="2214">
        <f t="shared" ref="HN327:HN328" si="897">SUM(HC327:HF327)</f>
        <v>12.017537916000215</v>
      </c>
      <c r="HO327" s="2197">
        <f t="shared" ref="HO327:HO328" si="898">SUM(HA327:HD327)</f>
        <v>1.6229000000000404</v>
      </c>
      <c r="HP327" s="2009"/>
    </row>
    <row r="328" spans="202:224" outlineLevel="1" x14ac:dyDescent="0.2">
      <c r="GT328" s="263" t="str">
        <f>$GT$326</f>
        <v>[B] RAN</v>
      </c>
      <c r="GU328" s="2208" t="s">
        <v>897</v>
      </c>
      <c r="GV328" s="2320"/>
      <c r="GW328" s="2207">
        <f t="shared" ref="GW328:HH328" si="899">GW155</f>
        <v>8.9741850000000127</v>
      </c>
      <c r="GX328" s="2207">
        <f t="shared" si="899"/>
        <v>23.583785000000042</v>
      </c>
      <c r="GY328" s="2207">
        <f t="shared" si="899"/>
        <v>0.39898499999985715</v>
      </c>
      <c r="GZ328" s="2207">
        <f t="shared" si="899"/>
        <v>-1.5860149999998177</v>
      </c>
      <c r="HA328" s="2207">
        <f t="shared" si="899"/>
        <v>24.460350000000048</v>
      </c>
      <c r="HB328" s="2207">
        <f t="shared" si="899"/>
        <v>1.1017499999998392</v>
      </c>
      <c r="HC328" s="2207">
        <f t="shared" si="899"/>
        <v>-4.4338499999999357</v>
      </c>
      <c r="HD328" s="2207">
        <f t="shared" si="899"/>
        <v>-18.354049999999912</v>
      </c>
      <c r="HE328" s="2207">
        <f t="shared" si="899"/>
        <v>15.34709025199998</v>
      </c>
      <c r="HF328" s="2207">
        <f t="shared" si="899"/>
        <v>49.273047664000089</v>
      </c>
      <c r="HG328" s="2207">
        <f t="shared" si="899"/>
        <v>-25.113000000000039</v>
      </c>
      <c r="HH328" s="2207">
        <f t="shared" si="899"/>
        <v>1.2776000000000778</v>
      </c>
      <c r="HJ328" s="2215">
        <f t="shared" si="893"/>
        <v>49.273047664000089</v>
      </c>
      <c r="HK328" s="2198">
        <f t="shared" si="894"/>
        <v>1.1017499999998392</v>
      </c>
      <c r="HL328" s="2215">
        <f t="shared" si="895"/>
        <v>64.620137916000061</v>
      </c>
      <c r="HM328" s="2198">
        <f t="shared" si="896"/>
        <v>25.562099999999887</v>
      </c>
      <c r="HN328" s="2215">
        <f t="shared" si="897"/>
        <v>41.832237916000224</v>
      </c>
      <c r="HO328" s="2198">
        <f t="shared" si="898"/>
        <v>2.7742000000000395</v>
      </c>
      <c r="HP328" s="2009"/>
    </row>
    <row r="329" spans="202:224" outlineLevel="1" x14ac:dyDescent="0.2">
      <c r="GT329" s="263"/>
      <c r="GW329" s="242"/>
      <c r="GX329" s="242"/>
      <c r="GY329" s="242"/>
      <c r="GZ329" s="242"/>
      <c r="HA329" s="242"/>
      <c r="HB329" s="242"/>
      <c r="HC329" s="242"/>
      <c r="HD329" s="242"/>
      <c r="HE329" s="242"/>
      <c r="HF329" s="242"/>
      <c r="HG329" s="242"/>
      <c r="HH329" s="242"/>
      <c r="HJ329" s="2216"/>
      <c r="HL329" s="2216"/>
      <c r="HN329" s="2216"/>
      <c r="HP329" s="2009"/>
    </row>
    <row r="330" spans="202:224" outlineLevel="1" x14ac:dyDescent="0.2">
      <c r="GT330" s="263" t="str">
        <f>$GT$326</f>
        <v>[B] RAN</v>
      </c>
      <c r="GU330" s="242" t="s">
        <v>900</v>
      </c>
      <c r="GV330" s="2319"/>
      <c r="GW330" s="2195">
        <f t="shared" ref="GW330:HH330" si="900">GW317</f>
        <v>0</v>
      </c>
      <c r="GX330" s="2195">
        <f t="shared" si="900"/>
        <v>0</v>
      </c>
      <c r="GY330" s="2195">
        <f t="shared" si="900"/>
        <v>0</v>
      </c>
      <c r="GZ330" s="2195">
        <f t="shared" si="900"/>
        <v>0.91310000000000002</v>
      </c>
      <c r="HA330" s="2195">
        <f t="shared" si="900"/>
        <v>-6.0343999999999998</v>
      </c>
      <c r="HB330" s="2195">
        <f t="shared" si="900"/>
        <v>-9.845600000000001</v>
      </c>
      <c r="HC330" s="2195">
        <f t="shared" si="900"/>
        <v>-5.0815872960000004</v>
      </c>
      <c r="HD330" s="2195">
        <f t="shared" si="900"/>
        <v>1.1513</v>
      </c>
      <c r="HE330" s="2195">
        <f t="shared" si="900"/>
        <v>45.734400000000001</v>
      </c>
      <c r="HF330" s="2195">
        <f t="shared" si="900"/>
        <v>47.481200000000001</v>
      </c>
      <c r="HG330" s="2195">
        <f t="shared" si="900"/>
        <v>32.818584619999996</v>
      </c>
      <c r="HH330" s="2195">
        <f t="shared" si="900"/>
        <v>24.614000000000001</v>
      </c>
      <c r="HJ330" s="2217">
        <f>HJ326*4</f>
        <v>49.228000000000002</v>
      </c>
      <c r="HK330" s="2199">
        <f>HK326*4</f>
        <v>-13.6568</v>
      </c>
      <c r="HL330" s="2216">
        <f>HF330</f>
        <v>47.481200000000001</v>
      </c>
      <c r="HM330" s="242">
        <f>HB330</f>
        <v>-9.845600000000001</v>
      </c>
      <c r="HN330" s="2217">
        <f>HF330+SUM(HD326:HE326)</f>
        <v>63.877300000000005</v>
      </c>
      <c r="HO330" s="2195">
        <f>HD330</f>
        <v>1.1513</v>
      </c>
      <c r="HP330" s="2000"/>
    </row>
    <row r="331" spans="202:224" outlineLevel="1" x14ac:dyDescent="0.2">
      <c r="GT331" s="263" t="str">
        <f>$GT$326</f>
        <v>[B] RAN</v>
      </c>
      <c r="GU331" s="2200" t="s">
        <v>901</v>
      </c>
      <c r="GV331" s="2319"/>
      <c r="GW331" s="2197">
        <f t="shared" ref="GW331" si="901">GW332-GW330</f>
        <v>35.896740000000051</v>
      </c>
      <c r="GX331" s="2197">
        <f t="shared" ref="GX331:GY331" si="902">GX332-GX330</f>
        <v>65.115940000000109</v>
      </c>
      <c r="GY331" s="2197">
        <f t="shared" si="902"/>
        <v>43.942496810149876</v>
      </c>
      <c r="GZ331" s="2197">
        <f t="shared" ref="GZ331:HH331" si="903">GZ332-GZ330</f>
        <v>30.45784000000009</v>
      </c>
      <c r="HA331" s="2197">
        <f t="shared" si="903"/>
        <v>103.8758000000002</v>
      </c>
      <c r="HB331" s="2197">
        <f t="shared" si="903"/>
        <v>60.969799999999779</v>
      </c>
      <c r="HC331" s="2197">
        <f t="shared" si="903"/>
        <v>33.252516868499931</v>
      </c>
      <c r="HD331" s="2197">
        <f t="shared" si="903"/>
        <v>1.6229000000000395</v>
      </c>
      <c r="HE331" s="2197">
        <f t="shared" si="903"/>
        <v>15.653961007999918</v>
      </c>
      <c r="HF331" s="2197">
        <f t="shared" si="903"/>
        <v>81.759075832000121</v>
      </c>
      <c r="HG331" s="2197">
        <f t="shared" si="903"/>
        <v>19.857467577540305</v>
      </c>
      <c r="HH331" s="2197">
        <f t="shared" si="903"/>
        <v>16.170737916000096</v>
      </c>
      <c r="HJ331" s="2218">
        <f>HJ332-HJ330</f>
        <v>147.86419065600035</v>
      </c>
      <c r="HK331" s="2267">
        <f>HK332-HK330</f>
        <v>18.063799999999357</v>
      </c>
      <c r="HL331" s="2225">
        <f t="shared" ref="HL331:HL332" si="904">HF331</f>
        <v>81.759075832000121</v>
      </c>
      <c r="HM331" s="2200">
        <f t="shared" ref="HM331:HM332" si="905">HB331</f>
        <v>60.969799999999779</v>
      </c>
      <c r="HN331" s="2218">
        <f t="shared" ref="HN331:HN332" si="906">HF331+SUM(HD327:HE327)</f>
        <v>62.356016084000188</v>
      </c>
      <c r="HO331" s="2197">
        <f t="shared" ref="HO331:HO332" si="907">HD331</f>
        <v>1.6229000000000395</v>
      </c>
      <c r="HP331" s="2009"/>
    </row>
    <row r="332" spans="202:224" outlineLevel="1" x14ac:dyDescent="0.2">
      <c r="GT332" s="263" t="str">
        <f>$GT$326</f>
        <v>[B] RAN</v>
      </c>
      <c r="GU332" s="2206" t="s">
        <v>902</v>
      </c>
      <c r="GV332" s="2320"/>
      <c r="GW332" s="2207">
        <f t="shared" ref="GW332:HH332" si="908">GW160</f>
        <v>35.896740000000051</v>
      </c>
      <c r="GX332" s="2207">
        <f t="shared" si="908"/>
        <v>65.115940000000109</v>
      </c>
      <c r="GY332" s="2207">
        <f t="shared" si="908"/>
        <v>43.942496810149876</v>
      </c>
      <c r="GZ332" s="2207">
        <f t="shared" si="908"/>
        <v>31.37094000000009</v>
      </c>
      <c r="HA332" s="2207">
        <f t="shared" si="908"/>
        <v>97.841400000000192</v>
      </c>
      <c r="HB332" s="2207">
        <f t="shared" si="908"/>
        <v>51.124199999999774</v>
      </c>
      <c r="HC332" s="2207">
        <f t="shared" si="908"/>
        <v>28.170929572499933</v>
      </c>
      <c r="HD332" s="2207">
        <f t="shared" si="908"/>
        <v>2.7742000000000395</v>
      </c>
      <c r="HE332" s="2207">
        <f t="shared" si="908"/>
        <v>61.388361007999919</v>
      </c>
      <c r="HF332" s="2207">
        <f t="shared" si="908"/>
        <v>129.24027583200012</v>
      </c>
      <c r="HG332" s="2207">
        <f t="shared" si="908"/>
        <v>52.676052197540301</v>
      </c>
      <c r="HH332" s="2207">
        <f t="shared" si="908"/>
        <v>40.784737916000097</v>
      </c>
      <c r="HJ332" s="2219">
        <f>HJ328*4</f>
        <v>197.09219065600035</v>
      </c>
      <c r="HK332" s="2201">
        <f>HK328*4</f>
        <v>4.406999999999357</v>
      </c>
      <c r="HL332" s="2226">
        <f t="shared" si="904"/>
        <v>129.24027583200012</v>
      </c>
      <c r="HM332" s="263">
        <f t="shared" si="905"/>
        <v>51.124199999999774</v>
      </c>
      <c r="HN332" s="2217">
        <f t="shared" si="906"/>
        <v>126.23331608400019</v>
      </c>
      <c r="HO332" s="2198">
        <f t="shared" si="907"/>
        <v>2.7742000000000395</v>
      </c>
      <c r="HP332" s="2009"/>
    </row>
    <row r="333" spans="202:224" x14ac:dyDescent="0.2">
      <c r="GT333" s="263"/>
      <c r="HJ333" s="2216"/>
      <c r="HL333" s="2216"/>
      <c r="HN333" s="2216"/>
      <c r="HP333" s="2009"/>
    </row>
    <row r="334" spans="202:224" x14ac:dyDescent="0.2">
      <c r="GT334" s="263" t="str">
        <f>$GT$326</f>
        <v>[B] RAN</v>
      </c>
      <c r="GU334" s="2211" t="s">
        <v>801</v>
      </c>
      <c r="GV334" s="2320"/>
      <c r="GW334" s="2205">
        <f t="shared" ref="GW334:HH334" si="909">GW161</f>
        <v>0</v>
      </c>
      <c r="GX334" s="2205">
        <f t="shared" si="909"/>
        <v>0</v>
      </c>
      <c r="GY334" s="2205">
        <f t="shared" si="909"/>
        <v>0</v>
      </c>
      <c r="GZ334" s="2205">
        <f t="shared" si="909"/>
        <v>0</v>
      </c>
      <c r="HA334" s="2205">
        <f t="shared" si="909"/>
        <v>1444.3479250805362</v>
      </c>
      <c r="HB334" s="2205">
        <f t="shared" si="909"/>
        <v>1432.9228039581544</v>
      </c>
      <c r="HC334" s="2205">
        <f t="shared" si="909"/>
        <v>1442.8177828317653</v>
      </c>
      <c r="HD334" s="2205">
        <f t="shared" si="909"/>
        <v>1447.2505604000244</v>
      </c>
      <c r="HE334" s="2205">
        <f t="shared" si="909"/>
        <v>1486.4250081435944</v>
      </c>
      <c r="HF334" s="2205">
        <f t="shared" si="909"/>
        <v>1533.0269815200004</v>
      </c>
      <c r="HG334" s="2205">
        <f t="shared" si="909"/>
        <v>738.91127997902436</v>
      </c>
      <c r="HH334" s="2205">
        <f t="shared" si="909"/>
        <v>738.91127997902436</v>
      </c>
      <c r="HI334" s="2211"/>
      <c r="HJ334" s="2220">
        <f t="shared" ref="HJ334:HO334" si="910">HJ161</f>
        <v>1541.629429705546</v>
      </c>
      <c r="HK334" s="2205">
        <f t="shared" si="910"/>
        <v>1460.5921681966909</v>
      </c>
      <c r="HL334" s="2220">
        <f t="shared" si="910"/>
        <v>1533.0269815200004</v>
      </c>
      <c r="HM334" s="2205">
        <f t="shared" si="910"/>
        <v>1432.9228039581544</v>
      </c>
      <c r="HN334" s="2220">
        <f t="shared" si="910"/>
        <v>1518.6992250781304</v>
      </c>
      <c r="HO334" s="2205">
        <f t="shared" si="910"/>
        <v>1447.2505604000244</v>
      </c>
      <c r="HP334" s="2009"/>
    </row>
    <row r="335" spans="202:224" x14ac:dyDescent="0.2">
      <c r="GT335" s="263"/>
      <c r="GW335" s="242"/>
      <c r="GX335" s="242"/>
      <c r="GY335" s="242"/>
      <c r="GZ335" s="242"/>
      <c r="HA335" s="242"/>
      <c r="HB335" s="242"/>
      <c r="HC335" s="242"/>
      <c r="HD335" s="242"/>
      <c r="HE335" s="242"/>
      <c r="HF335" s="242"/>
      <c r="HG335" s="242"/>
      <c r="HH335" s="242"/>
      <c r="HJ335" s="2216"/>
      <c r="HL335" s="2216"/>
      <c r="HN335" s="2216"/>
      <c r="HP335" s="2009"/>
    </row>
    <row r="336" spans="202:224" outlineLevel="1" x14ac:dyDescent="0.2">
      <c r="GT336" s="263" t="str">
        <f>$GT$326</f>
        <v>[B] RAN</v>
      </c>
      <c r="GU336" s="242" t="s">
        <v>903</v>
      </c>
      <c r="GV336" s="2319"/>
      <c r="GW336" s="2202" t="str">
        <f>IFERROR(GW330/GW334,"N/A")</f>
        <v>N/A</v>
      </c>
      <c r="GX336" s="2202" t="str">
        <f t="shared" ref="GX336:HH336" si="911">IFERROR(GX330/GX334,"N/A")</f>
        <v>N/A</v>
      </c>
      <c r="GY336" s="2202" t="str">
        <f t="shared" si="911"/>
        <v>N/A</v>
      </c>
      <c r="GZ336" s="2202" t="str">
        <f t="shared" si="911"/>
        <v>N/A</v>
      </c>
      <c r="HA336" s="2202">
        <f t="shared" si="911"/>
        <v>-4.1779407130477404E-3</v>
      </c>
      <c r="HB336" s="2202">
        <f t="shared" si="911"/>
        <v>-6.870991216556507E-3</v>
      </c>
      <c r="HC336" s="2202">
        <f t="shared" si="911"/>
        <v>-3.5219882624585872E-3</v>
      </c>
      <c r="HD336" s="2202">
        <f t="shared" si="911"/>
        <v>7.955084154065052E-4</v>
      </c>
      <c r="HE336" s="2202">
        <f t="shared" si="911"/>
        <v>3.0768050691718368E-2</v>
      </c>
      <c r="HF336" s="2202">
        <f t="shared" si="911"/>
        <v>3.0972188077813389E-2</v>
      </c>
      <c r="HG336" s="2202">
        <f t="shared" si="911"/>
        <v>4.4414783627246324E-2</v>
      </c>
      <c r="HH336" s="2202">
        <f t="shared" si="911"/>
        <v>3.3311170998362241E-2</v>
      </c>
      <c r="HJ336" s="2221">
        <f t="shared" ref="HJ336:HO336" si="912">IFERROR(HJ330/HJ334,"N/A")</f>
        <v>3.1932446962563914E-2</v>
      </c>
      <c r="HK336" s="2202">
        <f t="shared" si="912"/>
        <v>-9.350180219616859E-3</v>
      </c>
      <c r="HL336" s="2221">
        <f t="shared" si="912"/>
        <v>3.0972188077813389E-2</v>
      </c>
      <c r="HM336" s="2202">
        <f t="shared" si="912"/>
        <v>-6.870991216556507E-3</v>
      </c>
      <c r="HN336" s="2221">
        <f t="shared" si="912"/>
        <v>4.2060533741770885E-2</v>
      </c>
      <c r="HO336" s="2202">
        <f t="shared" si="912"/>
        <v>7.955084154065052E-4</v>
      </c>
      <c r="HP336" s="2009"/>
    </row>
    <row r="337" spans="202:224" outlineLevel="1" x14ac:dyDescent="0.2">
      <c r="GT337" s="263" t="str">
        <f>$GT$326</f>
        <v>[B] RAN</v>
      </c>
      <c r="GU337" s="2200" t="s">
        <v>904</v>
      </c>
      <c r="GV337" s="2319"/>
      <c r="GW337" s="2203" t="str">
        <f>IFERROR(GW331/GW334,"N/A")</f>
        <v>N/A</v>
      </c>
      <c r="GX337" s="2203" t="str">
        <f t="shared" ref="GX337:HH337" si="913">IFERROR(GX331/GX334,"N/A")</f>
        <v>N/A</v>
      </c>
      <c r="GY337" s="2203" t="str">
        <f t="shared" si="913"/>
        <v>N/A</v>
      </c>
      <c r="GZ337" s="2203" t="str">
        <f t="shared" si="913"/>
        <v>N/A</v>
      </c>
      <c r="HA337" s="2203">
        <f t="shared" si="913"/>
        <v>7.1918821079213394E-2</v>
      </c>
      <c r="HB337" s="2203">
        <f t="shared" si="913"/>
        <v>4.2549256548631405E-2</v>
      </c>
      <c r="HC337" s="2203">
        <f t="shared" si="913"/>
        <v>2.3046927522085599E-2</v>
      </c>
      <c r="HD337" s="2203">
        <f t="shared" si="913"/>
        <v>1.1213676777236592E-3</v>
      </c>
      <c r="HE337" s="2203">
        <f t="shared" si="913"/>
        <v>1.0531282050717277E-2</v>
      </c>
      <c r="HF337" s="2203">
        <f t="shared" si="913"/>
        <v>5.3331791819434107E-2</v>
      </c>
      <c r="HG337" s="2203">
        <f t="shared" si="913"/>
        <v>2.6873953768988348E-2</v>
      </c>
      <c r="HH337" s="2203">
        <f t="shared" si="913"/>
        <v>2.1884546026228125E-2</v>
      </c>
      <c r="HJ337" s="2222">
        <f t="shared" ref="HJ337:HO337" si="914">IFERROR(HJ331/HJ334,"N/A")</f>
        <v>9.5914224136368922E-2</v>
      </c>
      <c r="HK337" s="2203">
        <f t="shared" si="914"/>
        <v>1.2367449581974476E-2</v>
      </c>
      <c r="HL337" s="2222">
        <f t="shared" si="914"/>
        <v>5.3331791819434107E-2</v>
      </c>
      <c r="HM337" s="2203">
        <f t="shared" si="914"/>
        <v>4.2549256548631405E-2</v>
      </c>
      <c r="HN337" s="2222">
        <f t="shared" si="914"/>
        <v>4.1058831830767702E-2</v>
      </c>
      <c r="HO337" s="2203">
        <f t="shared" si="914"/>
        <v>1.1213676777236592E-3</v>
      </c>
      <c r="HP337" s="2009"/>
    </row>
    <row r="338" spans="202:224" outlineLevel="1" x14ac:dyDescent="0.2">
      <c r="GT338" s="263" t="str">
        <f>$GT$326</f>
        <v>[B] RAN</v>
      </c>
      <c r="GU338" s="263" t="s">
        <v>905</v>
      </c>
      <c r="GV338" s="2319"/>
      <c r="GW338" s="2204" t="str">
        <f>IFERROR(GW332/GW334,"N/A")</f>
        <v>N/A</v>
      </c>
      <c r="GX338" s="2204" t="str">
        <f t="shared" ref="GX338:HH338" si="915">IFERROR(GX332/GX334,"N/A")</f>
        <v>N/A</v>
      </c>
      <c r="GY338" s="2204" t="str">
        <f t="shared" si="915"/>
        <v>N/A</v>
      </c>
      <c r="GZ338" s="2204" t="str">
        <f t="shared" si="915"/>
        <v>N/A</v>
      </c>
      <c r="HA338" s="2204">
        <f t="shared" si="915"/>
        <v>6.7740880366165643E-2</v>
      </c>
      <c r="HB338" s="2204">
        <f t="shared" si="915"/>
        <v>3.5678265332074896E-2</v>
      </c>
      <c r="HC338" s="2204">
        <f t="shared" si="915"/>
        <v>1.9524939259627012E-2</v>
      </c>
      <c r="HD338" s="2204">
        <f t="shared" si="915"/>
        <v>1.9168760931301643E-3</v>
      </c>
      <c r="HE338" s="2204">
        <f t="shared" si="915"/>
        <v>4.1299332742435649E-2</v>
      </c>
      <c r="HF338" s="2204">
        <f t="shared" si="915"/>
        <v>8.43039798972475E-2</v>
      </c>
      <c r="HG338" s="2204">
        <f t="shared" si="915"/>
        <v>7.1288737396234675E-2</v>
      </c>
      <c r="HH338" s="2204">
        <f t="shared" si="915"/>
        <v>5.519571702459037E-2</v>
      </c>
      <c r="HJ338" s="2223">
        <f t="shared" ref="HJ338:HO338" si="916">IFERROR(HJ332/HJ334,"N/A")</f>
        <v>0.12784667109893286</v>
      </c>
      <c r="HK338" s="2204">
        <f t="shared" si="916"/>
        <v>3.0172693623576156E-3</v>
      </c>
      <c r="HL338" s="2223">
        <f t="shared" si="916"/>
        <v>8.43039798972475E-2</v>
      </c>
      <c r="HM338" s="2204">
        <f t="shared" si="916"/>
        <v>3.5678265332074896E-2</v>
      </c>
      <c r="HN338" s="2223">
        <f t="shared" si="916"/>
        <v>8.3119365572538587E-2</v>
      </c>
      <c r="HO338" s="2204">
        <f t="shared" si="916"/>
        <v>1.9168760931301643E-3</v>
      </c>
      <c r="HP338" s="2009"/>
    </row>
    <row r="339" spans="202:224" x14ac:dyDescent="0.2">
      <c r="GT339" s="263"/>
      <c r="HJ339" s="2216"/>
      <c r="HL339" s="2216"/>
      <c r="HN339" s="2216"/>
      <c r="HP339" s="2000"/>
    </row>
    <row r="340" spans="202:224" x14ac:dyDescent="0.2">
      <c r="GT340" s="263" t="str">
        <f>$GT$326</f>
        <v>[B] RAN</v>
      </c>
      <c r="GU340" s="2211" t="str">
        <f>GU23</f>
        <v>Genomsnittligt antal aktier, tusental (Ingen utspädning finns)</v>
      </c>
      <c r="GV340" s="2319"/>
      <c r="GW340" s="2212">
        <f t="shared" ref="GW340:HH340" si="917">GW23</f>
        <v>7399</v>
      </c>
      <c r="GX340" s="2212">
        <f t="shared" si="917"/>
        <v>7399</v>
      </c>
      <c r="GY340" s="2212">
        <f t="shared" si="917"/>
        <v>7399</v>
      </c>
      <c r="GZ340" s="2212">
        <f t="shared" si="917"/>
        <v>7399</v>
      </c>
      <c r="HA340" s="2212">
        <f t="shared" si="917"/>
        <v>7399</v>
      </c>
      <c r="HB340" s="2212">
        <f t="shared" si="917"/>
        <v>7399</v>
      </c>
      <c r="HC340" s="2212">
        <f t="shared" si="917"/>
        <v>7399</v>
      </c>
      <c r="HD340" s="2212">
        <f t="shared" si="917"/>
        <v>7399</v>
      </c>
      <c r="HE340" s="2212">
        <f t="shared" si="917"/>
        <v>7399</v>
      </c>
      <c r="HF340" s="2212">
        <f t="shared" si="917"/>
        <v>7399</v>
      </c>
      <c r="HG340" s="2212">
        <f t="shared" si="917"/>
        <v>7399</v>
      </c>
      <c r="HH340" s="2212">
        <f t="shared" si="917"/>
        <v>7399</v>
      </c>
      <c r="HJ340" s="2224">
        <f>AVERAGEA(HF340)</f>
        <v>7399</v>
      </c>
      <c r="HK340" s="2212">
        <f>AVERAGEA(HB340)</f>
        <v>7399</v>
      </c>
      <c r="HL340" s="2224">
        <f>AVERAGEA(HE340:HF340)</f>
        <v>7399</v>
      </c>
      <c r="HM340" s="2212">
        <f>AVERAGEA(HA340:HB340)</f>
        <v>7399</v>
      </c>
      <c r="HN340" s="2224">
        <f>AVERAGEA(HC340:HF340)</f>
        <v>7399</v>
      </c>
      <c r="HO340" s="2212">
        <f>AVERAGEA(HA340:HD340)</f>
        <v>7399</v>
      </c>
      <c r="HP340" s="2009"/>
    </row>
    <row r="341" spans="202:224" x14ac:dyDescent="0.2">
      <c r="GT341" s="263" t="str">
        <f>$GT$326</f>
        <v>[B] RAN</v>
      </c>
      <c r="GU341" s="2211" t="str">
        <f>GU193</f>
        <v>Resultat från innehav utan bestämmande inflytande (QTD)</v>
      </c>
      <c r="GV341" s="2319"/>
      <c r="GW341" s="2205">
        <f t="shared" ref="GW341:HH341" si="918">GW193</f>
        <v>2.077</v>
      </c>
      <c r="GX341" s="2205">
        <f t="shared" si="918"/>
        <v>2.1870000000000003</v>
      </c>
      <c r="GY341" s="2205">
        <f t="shared" si="918"/>
        <v>2.1269999999999998</v>
      </c>
      <c r="GZ341" s="2205">
        <f t="shared" si="918"/>
        <v>3.9999999999995595E-3</v>
      </c>
      <c r="HA341" s="2205">
        <f t="shared" si="918"/>
        <v>1.593</v>
      </c>
      <c r="HB341" s="2205">
        <f t="shared" si="918"/>
        <v>1.4060000000000001</v>
      </c>
      <c r="HC341" s="2205">
        <f t="shared" si="918"/>
        <v>0.84299999999999997</v>
      </c>
      <c r="HD341" s="2205">
        <f t="shared" si="918"/>
        <v>0.74299999999999988</v>
      </c>
      <c r="HE341" s="2205">
        <f t="shared" si="918"/>
        <v>1.103</v>
      </c>
      <c r="HF341" s="2205">
        <f t="shared" si="918"/>
        <v>1.5370000000000001</v>
      </c>
      <c r="HG341" s="2205">
        <f t="shared" si="918"/>
        <v>0</v>
      </c>
      <c r="HH341" s="2205">
        <f t="shared" si="918"/>
        <v>0</v>
      </c>
      <c r="HJ341" s="2220">
        <f t="shared" ref="HJ341" si="919">HF341</f>
        <v>1.5370000000000001</v>
      </c>
      <c r="HK341" s="2205">
        <f t="shared" ref="HK341" si="920">HB341</f>
        <v>1.4060000000000001</v>
      </c>
      <c r="HL341" s="2220">
        <f t="shared" ref="HL341" si="921">SUM(HE341:HF341)</f>
        <v>2.64</v>
      </c>
      <c r="HM341" s="2205">
        <f t="shared" ref="HM341" si="922">SUM(HA341:HB341)</f>
        <v>2.9990000000000001</v>
      </c>
      <c r="HN341" s="2220">
        <f t="shared" ref="HN341" si="923">SUM(HC341:HF341)</f>
        <v>4.226</v>
      </c>
      <c r="HO341" s="2205">
        <f t="shared" ref="HO341" si="924">SUM(HA341:HD341)</f>
        <v>4.585</v>
      </c>
      <c r="HP341" s="2009"/>
    </row>
    <row r="342" spans="202:224" x14ac:dyDescent="0.2">
      <c r="GT342" s="263"/>
      <c r="HJ342" s="2216"/>
      <c r="HL342" s="2216"/>
      <c r="HN342" s="2216"/>
      <c r="HP342" s="2009"/>
    </row>
    <row r="343" spans="202:224" x14ac:dyDescent="0.2">
      <c r="GT343" s="263" t="str">
        <f>$GT$326</f>
        <v>[B] RAN</v>
      </c>
      <c r="GU343" s="242" t="s">
        <v>802</v>
      </c>
      <c r="GV343" s="2108"/>
      <c r="GW343" s="2195">
        <f t="shared" ref="GW343:HH343" si="925">IFERROR(((GW326))/GW$340*1000,"N/A")</f>
        <v>0</v>
      </c>
      <c r="GX343" s="2195">
        <f t="shared" si="925"/>
        <v>0</v>
      </c>
      <c r="GY343" s="2195">
        <f t="shared" si="925"/>
        <v>0</v>
      </c>
      <c r="GZ343" s="2195">
        <f t="shared" si="925"/>
        <v>0.12340856872550345</v>
      </c>
      <c r="HA343" s="2195">
        <f t="shared" si="925"/>
        <v>-0.20389241789431004</v>
      </c>
      <c r="HB343" s="2195">
        <f t="shared" si="925"/>
        <v>-0.46144073523449114</v>
      </c>
      <c r="HC343" s="2195">
        <f t="shared" si="925"/>
        <v>0.15023651844843897</v>
      </c>
      <c r="HD343" s="2195">
        <f t="shared" si="925"/>
        <v>0.67069874307338839</v>
      </c>
      <c r="HE343" s="2195">
        <f t="shared" si="925"/>
        <v>1.5452899040410866</v>
      </c>
      <c r="HF343" s="2195">
        <f t="shared" si="925"/>
        <v>1.6633328828220031</v>
      </c>
      <c r="HG343" s="2195">
        <f t="shared" si="925"/>
        <v>0.11804297878091635</v>
      </c>
      <c r="HH343" s="2195">
        <f t="shared" si="925"/>
        <v>0</v>
      </c>
      <c r="HJ343" s="2213">
        <f t="shared" ref="HJ343:HO343" si="926">IFERROR(((HJ326))/HJ$340*1000,"N/A")</f>
        <v>1.6633328828220031</v>
      </c>
      <c r="HK343" s="2195">
        <f t="shared" si="926"/>
        <v>-0.46144073523449114</v>
      </c>
      <c r="HL343" s="2213">
        <f t="shared" si="926"/>
        <v>3.2086227868630899</v>
      </c>
      <c r="HM343" s="2195">
        <f t="shared" si="926"/>
        <v>-0.66533315312880126</v>
      </c>
      <c r="HN343" s="2213">
        <f t="shared" si="926"/>
        <v>4.0295580483849172</v>
      </c>
      <c r="HO343" s="2195">
        <f t="shared" si="926"/>
        <v>0.15560210839302607</v>
      </c>
    </row>
    <row r="344" spans="202:224" x14ac:dyDescent="0.2">
      <c r="GT344" s="263" t="str">
        <f>$GT$326</f>
        <v>[B] RAN</v>
      </c>
      <c r="GU344" s="2200" t="s">
        <v>803</v>
      </c>
      <c r="GV344" s="2108"/>
      <c r="GW344" s="2197">
        <f t="shared" ref="GW344:HH344" si="927">IFERROR(((GW327-GW$341))/GW$340*1000,"N/A")</f>
        <v>0.93217799702662696</v>
      </c>
      <c r="GX344" s="2197">
        <f t="shared" si="927"/>
        <v>2.8918482227328073</v>
      </c>
      <c r="GY344" s="2197">
        <f t="shared" si="927"/>
        <v>-0.23354710095960843</v>
      </c>
      <c r="GZ344" s="2197">
        <f t="shared" si="927"/>
        <v>-0.33830450060816558</v>
      </c>
      <c r="HA344" s="2197">
        <f t="shared" si="927"/>
        <v>3.2944924989863562</v>
      </c>
      <c r="HB344" s="2197">
        <f t="shared" si="927"/>
        <v>0.42032031355586419</v>
      </c>
      <c r="HC344" s="2197">
        <f t="shared" si="927"/>
        <v>-0.86342073253141449</v>
      </c>
      <c r="HD344" s="2197">
        <f t="shared" si="927"/>
        <v>-3.2517299635085704</v>
      </c>
      <c r="HE344" s="2197">
        <f t="shared" si="927"/>
        <v>0.37984731071766181</v>
      </c>
      <c r="HF344" s="2197">
        <f t="shared" si="927"/>
        <v>4.7883562189485191</v>
      </c>
      <c r="HG344" s="2197">
        <f t="shared" si="927"/>
        <v>-3.5121502905798132</v>
      </c>
      <c r="HH344" s="2197">
        <f t="shared" si="927"/>
        <v>0.17267198270037543</v>
      </c>
      <c r="HJ344" s="2214">
        <f t="shared" ref="HJ344:HO345" si="928">IFERROR(((HJ327-HJ$341))/HJ$340*1000,"N/A")</f>
        <v>4.7883562189485191</v>
      </c>
      <c r="HK344" s="2197">
        <f t="shared" si="928"/>
        <v>0.42032031355586419</v>
      </c>
      <c r="HL344" s="2214">
        <f t="shared" si="928"/>
        <v>5.1682035296661804</v>
      </c>
      <c r="HM344" s="2197">
        <f t="shared" si="928"/>
        <v>3.7148128125422208</v>
      </c>
      <c r="HN344" s="2214">
        <f t="shared" si="928"/>
        <v>1.0530528336261948</v>
      </c>
      <c r="HO344" s="2197">
        <f t="shared" si="928"/>
        <v>-0.4003378834977645</v>
      </c>
      <c r="HP344" s="2012"/>
    </row>
    <row r="345" spans="202:224" x14ac:dyDescent="0.2">
      <c r="GT345" s="263" t="str">
        <f>$GT$326</f>
        <v>[B] RAN</v>
      </c>
      <c r="GU345" s="263" t="s">
        <v>804</v>
      </c>
      <c r="GV345" s="2108"/>
      <c r="GW345" s="2198">
        <f t="shared" ref="GW345:HH345" si="929">IFERROR(((GW328-GW$341))/GW$340*1000,"N/A")</f>
        <v>0.93217799702662696</v>
      </c>
      <c r="GX345" s="2198">
        <f t="shared" si="929"/>
        <v>2.8918482227328073</v>
      </c>
      <c r="GY345" s="2198">
        <f t="shared" si="929"/>
        <v>-0.23354710095960843</v>
      </c>
      <c r="GZ345" s="2198">
        <f t="shared" si="929"/>
        <v>-0.21489593188266215</v>
      </c>
      <c r="HA345" s="2198">
        <f t="shared" si="929"/>
        <v>3.0906000810920462</v>
      </c>
      <c r="HB345" s="2198">
        <f t="shared" si="929"/>
        <v>-4.1120421678626957E-2</v>
      </c>
      <c r="HC345" s="2198">
        <f t="shared" si="929"/>
        <v>-0.7131842140829755</v>
      </c>
      <c r="HD345" s="2198">
        <f t="shared" si="929"/>
        <v>-2.581031220435182</v>
      </c>
      <c r="HE345" s="2198">
        <f t="shared" si="929"/>
        <v>1.9251372147587484</v>
      </c>
      <c r="HF345" s="2198">
        <f t="shared" si="929"/>
        <v>6.4516891017705218</v>
      </c>
      <c r="HG345" s="2198">
        <f t="shared" si="929"/>
        <v>-3.3941073117988969</v>
      </c>
      <c r="HH345" s="2198">
        <f t="shared" si="929"/>
        <v>0.17267198270037543</v>
      </c>
      <c r="HJ345" s="2215">
        <f t="shared" si="928"/>
        <v>6.4516891017705218</v>
      </c>
      <c r="HK345" s="2198">
        <f t="shared" si="928"/>
        <v>-4.1120421678626957E-2</v>
      </c>
      <c r="HL345" s="2215">
        <f t="shared" si="928"/>
        <v>8.376826316529268</v>
      </c>
      <c r="HM345" s="2198">
        <f t="shared" si="928"/>
        <v>3.0494796594134193</v>
      </c>
      <c r="HN345" s="2215">
        <f t="shared" si="928"/>
        <v>5.0826108820111129</v>
      </c>
      <c r="HO345" s="2198">
        <f t="shared" si="928"/>
        <v>-0.24473577510473851</v>
      </c>
      <c r="HP345" s="2012"/>
    </row>
    <row r="346" spans="202:224" x14ac:dyDescent="0.2">
      <c r="GT346" s="263" t="str">
        <f>$GT$326</f>
        <v>[B] RAN</v>
      </c>
    </row>
    <row r="347" spans="202:224" x14ac:dyDescent="0.2">
      <c r="GU347" s="2151" t="s">
        <v>181</v>
      </c>
      <c r="GV347" s="263"/>
      <c r="GW347" s="2152">
        <f>GW328-SUM(GW326:GW327)</f>
        <v>0</v>
      </c>
      <c r="GX347" s="2152">
        <f t="shared" ref="GX347:HH347" si="930">GX328-SUM(GX326:GX327)</f>
        <v>0</v>
      </c>
      <c r="GY347" s="2152">
        <f t="shared" si="930"/>
        <v>0</v>
      </c>
      <c r="GZ347" s="2152">
        <f t="shared" si="930"/>
        <v>0</v>
      </c>
      <c r="HA347" s="2152">
        <f t="shared" si="930"/>
        <v>0</v>
      </c>
      <c r="HB347" s="2152">
        <f t="shared" si="930"/>
        <v>0</v>
      </c>
      <c r="HC347" s="2152">
        <f t="shared" si="930"/>
        <v>0</v>
      </c>
      <c r="HD347" s="2152">
        <f t="shared" si="930"/>
        <v>0</v>
      </c>
      <c r="HE347" s="2152">
        <f t="shared" si="930"/>
        <v>0</v>
      </c>
      <c r="HF347" s="2152">
        <f t="shared" si="930"/>
        <v>0</v>
      </c>
      <c r="HG347" s="2152">
        <f t="shared" si="930"/>
        <v>0</v>
      </c>
      <c r="HH347" s="2152">
        <f t="shared" si="930"/>
        <v>0</v>
      </c>
      <c r="HJ347" s="2152">
        <f t="shared" ref="HJ347:HO347" si="931">HJ328-SUM(HJ326:HJ327)</f>
        <v>0</v>
      </c>
      <c r="HK347" s="2152">
        <f t="shared" si="931"/>
        <v>0</v>
      </c>
      <c r="HL347" s="2152">
        <f t="shared" si="931"/>
        <v>0</v>
      </c>
      <c r="HM347" s="2152">
        <f t="shared" si="931"/>
        <v>0</v>
      </c>
      <c r="HN347" s="2152">
        <f t="shared" si="931"/>
        <v>0</v>
      </c>
      <c r="HO347" s="2152">
        <f t="shared" si="931"/>
        <v>0</v>
      </c>
      <c r="HP347" s="2012"/>
    </row>
    <row r="348" spans="202:224" x14ac:dyDescent="0.2">
      <c r="GU348" s="2151" t="s">
        <v>181</v>
      </c>
      <c r="GW348" s="2152">
        <f>GW332-SUM(GW330:GW331)</f>
        <v>0</v>
      </c>
      <c r="GX348" s="2152">
        <f t="shared" ref="GX348:HH348" si="932">GX332-SUM(GX330:GX331)</f>
        <v>0</v>
      </c>
      <c r="GY348" s="2152">
        <f t="shared" si="932"/>
        <v>0</v>
      </c>
      <c r="GZ348" s="2152">
        <f t="shared" si="932"/>
        <v>0</v>
      </c>
      <c r="HA348" s="2152">
        <f t="shared" si="932"/>
        <v>0</v>
      </c>
      <c r="HB348" s="2152">
        <f t="shared" si="932"/>
        <v>0</v>
      </c>
      <c r="HC348" s="2152">
        <f t="shared" si="932"/>
        <v>0</v>
      </c>
      <c r="HD348" s="2152">
        <f t="shared" si="932"/>
        <v>0</v>
      </c>
      <c r="HE348" s="2152">
        <f t="shared" si="932"/>
        <v>0</v>
      </c>
      <c r="HF348" s="2152">
        <f t="shared" si="932"/>
        <v>0</v>
      </c>
      <c r="HG348" s="2152">
        <f t="shared" si="932"/>
        <v>0</v>
      </c>
      <c r="HH348" s="2152">
        <f t="shared" si="932"/>
        <v>0</v>
      </c>
      <c r="HJ348" s="2152">
        <f t="shared" ref="HJ348:HO348" si="933">HJ332-SUM(HJ330:HJ331)</f>
        <v>0</v>
      </c>
      <c r="HK348" s="2152">
        <f t="shared" si="933"/>
        <v>0</v>
      </c>
      <c r="HL348" s="2152">
        <f t="shared" si="933"/>
        <v>0</v>
      </c>
      <c r="HM348" s="2152">
        <f t="shared" si="933"/>
        <v>0</v>
      </c>
      <c r="HN348" s="2152">
        <f t="shared" si="933"/>
        <v>0</v>
      </c>
      <c r="HO348" s="2152">
        <f t="shared" si="933"/>
        <v>0</v>
      </c>
      <c r="HP348" s="2012"/>
    </row>
    <row r="349" spans="202:224" x14ac:dyDescent="0.2">
      <c r="GU349" s="2151" t="s">
        <v>181</v>
      </c>
      <c r="GW349" s="2152">
        <f>GW345-SUM(GW343:GW344)</f>
        <v>0</v>
      </c>
      <c r="GX349" s="2152">
        <f t="shared" ref="GX349:HH349" si="934">GX345-SUM(GX343:GX344)</f>
        <v>0</v>
      </c>
      <c r="GY349" s="2152">
        <f t="shared" si="934"/>
        <v>0</v>
      </c>
      <c r="GZ349" s="2152">
        <f t="shared" si="934"/>
        <v>0</v>
      </c>
      <c r="HA349" s="2152">
        <f t="shared" si="934"/>
        <v>0</v>
      </c>
      <c r="HB349" s="2152">
        <f t="shared" si="934"/>
        <v>0</v>
      </c>
      <c r="HC349" s="2152">
        <f t="shared" si="934"/>
        <v>0</v>
      </c>
      <c r="HD349" s="2152">
        <f t="shared" si="934"/>
        <v>0</v>
      </c>
      <c r="HE349" s="2152">
        <f t="shared" si="934"/>
        <v>0</v>
      </c>
      <c r="HF349" s="2152">
        <f t="shared" si="934"/>
        <v>0</v>
      </c>
      <c r="HG349" s="2152">
        <f t="shared" si="934"/>
        <v>0</v>
      </c>
      <c r="HH349" s="2152">
        <f t="shared" si="934"/>
        <v>0</v>
      </c>
      <c r="HJ349" s="2152">
        <f t="shared" ref="HJ349:HO349" si="935">HJ345-SUM(HJ343:HJ344)</f>
        <v>0</v>
      </c>
      <c r="HK349" s="2152">
        <f t="shared" si="935"/>
        <v>0</v>
      </c>
      <c r="HL349" s="2152">
        <f t="shared" si="935"/>
        <v>0</v>
      </c>
      <c r="HM349" s="2152">
        <f t="shared" si="935"/>
        <v>0</v>
      </c>
      <c r="HN349" s="2152">
        <f t="shared" si="935"/>
        <v>0</v>
      </c>
      <c r="HO349" s="2152">
        <f t="shared" si="935"/>
        <v>0</v>
      </c>
    </row>
    <row r="351" spans="202:224" ht="15" x14ac:dyDescent="0.25">
      <c r="GU351" s="794" t="s">
        <v>26</v>
      </c>
      <c r="GW351" s="2233"/>
      <c r="GX351" s="2233"/>
      <c r="GY351" s="2233"/>
      <c r="GZ351" s="2233"/>
      <c r="HA351" s="2233"/>
      <c r="HB351" s="2233"/>
      <c r="HC351" s="2233"/>
      <c r="HD351" s="2233"/>
      <c r="HE351" s="2233"/>
      <c r="HF351" s="2233"/>
      <c r="HG351" s="2233"/>
      <c r="HH351" s="2233"/>
      <c r="HJ351" s="2200"/>
      <c r="HK351" s="2200"/>
      <c r="HL351" s="2200"/>
      <c r="HM351" s="2200"/>
      <c r="HN351" s="2200"/>
      <c r="HO351" s="2200"/>
    </row>
    <row r="353" spans="202:226" x14ac:dyDescent="0.2">
      <c r="GU353" s="256"/>
      <c r="GV353" s="2319"/>
      <c r="GW353" s="214">
        <f t="shared" ref="GW353:HH353" si="936">GW$28</f>
        <v>2403</v>
      </c>
      <c r="GX353" s="214">
        <f t="shared" si="936"/>
        <v>2406</v>
      </c>
      <c r="GY353" s="214">
        <f t="shared" si="936"/>
        <v>2409</v>
      </c>
      <c r="GZ353" s="214">
        <f t="shared" si="936"/>
        <v>2412</v>
      </c>
      <c r="HA353" s="214">
        <f t="shared" si="936"/>
        <v>2503</v>
      </c>
      <c r="HB353" s="214">
        <f t="shared" si="936"/>
        <v>2506</v>
      </c>
      <c r="HC353" s="214">
        <f t="shared" si="936"/>
        <v>2509</v>
      </c>
      <c r="HD353" s="214">
        <f t="shared" si="936"/>
        <v>2512</v>
      </c>
      <c r="HE353" s="214">
        <f t="shared" si="936"/>
        <v>2603</v>
      </c>
      <c r="HF353" s="214">
        <f t="shared" si="936"/>
        <v>2606</v>
      </c>
      <c r="HG353" s="214">
        <f t="shared" si="936"/>
        <v>2609</v>
      </c>
      <c r="HH353" s="214">
        <f t="shared" si="936"/>
        <v>2612</v>
      </c>
      <c r="HJ353" s="214" t="str">
        <f t="shared" ref="HJ353:HO353" si="937">HJ$10</f>
        <v>Kvartal 2</v>
      </c>
      <c r="HK353" s="214" t="str">
        <f t="shared" si="937"/>
        <v>Kvartal 2</v>
      </c>
      <c r="HL353" s="214" t="str">
        <f t="shared" si="937"/>
        <v>Kvartal 1-2</v>
      </c>
      <c r="HM353" s="214" t="str">
        <f t="shared" si="937"/>
        <v>Kvartal 1-2</v>
      </c>
      <c r="HN353" s="214" t="str">
        <f t="shared" si="937"/>
        <v>Kvartal 2, R12</v>
      </c>
      <c r="HO353" s="214" t="str">
        <f t="shared" si="937"/>
        <v>Helår</v>
      </c>
      <c r="HP353" s="2009"/>
    </row>
    <row r="354" spans="202:226" x14ac:dyDescent="0.2">
      <c r="GU354" s="1581"/>
      <c r="GV354" s="2319"/>
      <c r="GW354" s="1124"/>
      <c r="GX354" s="1124"/>
      <c r="GY354" s="1124"/>
      <c r="GZ354" s="1124"/>
      <c r="HA354" s="1124"/>
      <c r="HB354" s="1124"/>
      <c r="HC354" s="1124"/>
      <c r="HD354" s="1124"/>
      <c r="HE354" s="1124"/>
      <c r="HF354" s="1124"/>
      <c r="HG354" s="1124"/>
      <c r="HH354" s="1124"/>
      <c r="HJ354" s="1124">
        <f t="shared" ref="HJ354:HO354" si="938">HJ$11</f>
        <v>2026</v>
      </c>
      <c r="HK354" s="1124">
        <f t="shared" si="938"/>
        <v>2025</v>
      </c>
      <c r="HL354" s="1124">
        <f t="shared" si="938"/>
        <v>2026</v>
      </c>
      <c r="HM354" s="1124">
        <f t="shared" si="938"/>
        <v>2025</v>
      </c>
      <c r="HN354" s="1124">
        <f t="shared" si="938"/>
        <v>2026</v>
      </c>
      <c r="HO354" s="1124">
        <f t="shared" si="938"/>
        <v>2025</v>
      </c>
      <c r="HP354" s="2009"/>
    </row>
    <row r="355" spans="202:226" x14ac:dyDescent="0.2">
      <c r="GT355" s="263" t="s">
        <v>807</v>
      </c>
      <c r="GU355" s="2209" t="s">
        <v>898</v>
      </c>
      <c r="GV355" s="2320"/>
      <c r="GW355" s="2210">
        <f>GW$313</f>
        <v>0</v>
      </c>
      <c r="GX355" s="2210">
        <f>GX$313</f>
        <v>0</v>
      </c>
      <c r="GY355" s="2210">
        <f>GY$313</f>
        <v>0</v>
      </c>
      <c r="GZ355" s="2210">
        <f>GZ$313</f>
        <v>0.91310000000000002</v>
      </c>
      <c r="HA355" s="2210">
        <f t="shared" ref="HA355:HH355" si="939">HA$313</f>
        <v>-1.5085999999999999</v>
      </c>
      <c r="HB355" s="2210">
        <f t="shared" si="939"/>
        <v>-3.4142000000000001</v>
      </c>
      <c r="HC355" s="2210">
        <f t="shared" si="939"/>
        <v>1.1115999999999999</v>
      </c>
      <c r="HD355" s="2210">
        <f t="shared" si="939"/>
        <v>4.9625000000000004</v>
      </c>
      <c r="HE355" s="2210">
        <f t="shared" si="939"/>
        <v>11.4336</v>
      </c>
      <c r="HF355" s="2210">
        <f t="shared" si="939"/>
        <v>12.307</v>
      </c>
      <c r="HG355" s="2210">
        <f t="shared" si="939"/>
        <v>0.87340000000000007</v>
      </c>
      <c r="HH355" s="2210">
        <f t="shared" si="939"/>
        <v>0</v>
      </c>
      <c r="HJ355" s="2213">
        <f>HF355</f>
        <v>12.307</v>
      </c>
      <c r="HK355" s="2195">
        <f>HB355</f>
        <v>-3.4142000000000001</v>
      </c>
      <c r="HL355" s="2213">
        <f>SUM(HE355:HF355)</f>
        <v>23.740600000000001</v>
      </c>
      <c r="HM355" s="2195">
        <f>SUM(HA355:HB355)</f>
        <v>-4.9228000000000005</v>
      </c>
      <c r="HN355" s="2213">
        <f>SUM(HC355:HF355)</f>
        <v>29.814700000000002</v>
      </c>
      <c r="HO355" s="2195">
        <f>SUM(HA355:HD355)</f>
        <v>1.1513</v>
      </c>
      <c r="HP355" s="2000"/>
    </row>
    <row r="356" spans="202:226" x14ac:dyDescent="0.2">
      <c r="GT356" s="263" t="s">
        <v>807</v>
      </c>
      <c r="GU356" s="2196" t="s">
        <v>899</v>
      </c>
      <c r="GV356" s="2319"/>
      <c r="GW356" s="2197">
        <f>GW357-GW355</f>
        <v>27.500000000000043</v>
      </c>
      <c r="GX356" s="2197">
        <f>GX357-GX355</f>
        <v>41.600000000000051</v>
      </c>
      <c r="GY356" s="2197">
        <f>GY357-GY355</f>
        <v>18.799999999999816</v>
      </c>
      <c r="GZ356" s="2197">
        <f>GZ357-GZ355</f>
        <v>11.28690000000023</v>
      </c>
      <c r="HA356" s="2197">
        <f t="shared" ref="HA356:HH356" si="940">HA357-HA355</f>
        <v>44.908600000000106</v>
      </c>
      <c r="HB356" s="2197">
        <f t="shared" si="940"/>
        <v>21.514199999999857</v>
      </c>
      <c r="HC356" s="2197">
        <f t="shared" si="940"/>
        <v>16.588400000000092</v>
      </c>
      <c r="HD356" s="2197">
        <f t="shared" si="940"/>
        <v>-6.0624999999999059</v>
      </c>
      <c r="HE356" s="2197">
        <f t="shared" si="940"/>
        <v>22.566399999999987</v>
      </c>
      <c r="HF356" s="2197">
        <f t="shared" si="940"/>
        <v>57.693000000000069</v>
      </c>
      <c r="HG356" s="2197">
        <f t="shared" si="940"/>
        <v>-25.673400000000047</v>
      </c>
      <c r="HH356" s="2197">
        <f t="shared" si="940"/>
        <v>-1.0999999999999055</v>
      </c>
      <c r="HJ356" s="2214">
        <f t="shared" ref="HJ356:HJ357" si="941">HF356</f>
        <v>57.693000000000069</v>
      </c>
      <c r="HK356" s="2197">
        <f t="shared" ref="HK356:HK357" si="942">HB356</f>
        <v>21.514199999999857</v>
      </c>
      <c r="HL356" s="2214">
        <f t="shared" ref="HL356:HL357" si="943">SUM(HE356:HF356)</f>
        <v>80.259400000000056</v>
      </c>
      <c r="HM356" s="2197">
        <f t="shared" ref="HM356:HM357" si="944">SUM(HA356:HB356)</f>
        <v>66.422799999999967</v>
      </c>
      <c r="HN356" s="2214">
        <f t="shared" ref="HN356:HN357" si="945">SUM(HC356:HF356)</f>
        <v>90.785300000000234</v>
      </c>
      <c r="HO356" s="2197">
        <f t="shared" ref="HO356:HO357" si="946">SUM(HA356:HD356)</f>
        <v>76.948700000000159</v>
      </c>
      <c r="HP356" s="2009"/>
    </row>
    <row r="357" spans="202:226" x14ac:dyDescent="0.2">
      <c r="GT357" s="263" t="s">
        <v>807</v>
      </c>
      <c r="GU357" s="2208" t="s">
        <v>897</v>
      </c>
      <c r="GV357" s="2320"/>
      <c r="GW357" s="2207">
        <f t="shared" ref="GW357:HH357" si="947">GW248</f>
        <v>27.500000000000043</v>
      </c>
      <c r="GX357" s="2207">
        <f t="shared" si="947"/>
        <v>41.600000000000051</v>
      </c>
      <c r="GY357" s="2207">
        <f t="shared" si="947"/>
        <v>18.799999999999816</v>
      </c>
      <c r="GZ357" s="2207">
        <f t="shared" si="947"/>
        <v>12.20000000000023</v>
      </c>
      <c r="HA357" s="2207">
        <f t="shared" si="947"/>
        <v>43.400000000000105</v>
      </c>
      <c r="HB357" s="2207">
        <f t="shared" si="947"/>
        <v>18.099999999999856</v>
      </c>
      <c r="HC357" s="2207">
        <f t="shared" si="947"/>
        <v>17.700000000000092</v>
      </c>
      <c r="HD357" s="2207">
        <f t="shared" si="947"/>
        <v>-1.0999999999999055</v>
      </c>
      <c r="HE357" s="2207">
        <f t="shared" si="947"/>
        <v>33.999999999999986</v>
      </c>
      <c r="HF357" s="2207">
        <f t="shared" si="947"/>
        <v>70.000000000000071</v>
      </c>
      <c r="HG357" s="2207">
        <f t="shared" si="947"/>
        <v>-24.800000000000047</v>
      </c>
      <c r="HH357" s="2207">
        <f t="shared" si="947"/>
        <v>-1.0999999999999055</v>
      </c>
      <c r="HJ357" s="2215">
        <f t="shared" si="941"/>
        <v>70.000000000000071</v>
      </c>
      <c r="HK357" s="2198">
        <f t="shared" si="942"/>
        <v>18.099999999999856</v>
      </c>
      <c r="HL357" s="2215">
        <f t="shared" si="943"/>
        <v>104.00000000000006</v>
      </c>
      <c r="HM357" s="2198">
        <f t="shared" si="944"/>
        <v>61.499999999999957</v>
      </c>
      <c r="HN357" s="2215">
        <f t="shared" si="945"/>
        <v>120.60000000000025</v>
      </c>
      <c r="HO357" s="2198">
        <f t="shared" si="946"/>
        <v>78.100000000000136</v>
      </c>
      <c r="HP357" s="2009"/>
    </row>
    <row r="358" spans="202:226" x14ac:dyDescent="0.2">
      <c r="GT358" s="263"/>
      <c r="GW358" s="242"/>
      <c r="GX358" s="242"/>
      <c r="GY358" s="242"/>
      <c r="GZ358" s="242"/>
      <c r="HA358" s="242"/>
      <c r="HB358" s="242"/>
      <c r="HC358" s="242"/>
      <c r="HD358" s="242"/>
      <c r="HE358" s="242"/>
      <c r="HF358" s="242"/>
      <c r="HG358" s="242"/>
      <c r="HH358" s="242"/>
      <c r="HJ358" s="2216"/>
      <c r="HL358" s="2216"/>
      <c r="HN358" s="2216"/>
      <c r="HP358" s="2009"/>
    </row>
    <row r="359" spans="202:226" x14ac:dyDescent="0.2">
      <c r="GT359" s="263" t="s">
        <v>807</v>
      </c>
      <c r="GU359" s="242" t="s">
        <v>900</v>
      </c>
      <c r="GV359" s="2319"/>
      <c r="GW359" s="2195">
        <f t="shared" ref="GW359:HH359" si="948">GW317</f>
        <v>0</v>
      </c>
      <c r="GX359" s="2195">
        <f t="shared" si="948"/>
        <v>0</v>
      </c>
      <c r="GY359" s="2195">
        <f t="shared" si="948"/>
        <v>0</v>
      </c>
      <c r="GZ359" s="2195">
        <f t="shared" si="948"/>
        <v>0.91310000000000002</v>
      </c>
      <c r="HA359" s="2195">
        <f t="shared" si="948"/>
        <v>-6.0343999999999998</v>
      </c>
      <c r="HB359" s="2195">
        <f t="shared" si="948"/>
        <v>-9.845600000000001</v>
      </c>
      <c r="HC359" s="2195">
        <f t="shared" si="948"/>
        <v>-5.0815872960000004</v>
      </c>
      <c r="HD359" s="2195">
        <f t="shared" si="948"/>
        <v>1.1513</v>
      </c>
      <c r="HE359" s="2195">
        <f t="shared" si="948"/>
        <v>45.734400000000001</v>
      </c>
      <c r="HF359" s="2195">
        <f t="shared" si="948"/>
        <v>47.481200000000001</v>
      </c>
      <c r="HG359" s="2195">
        <f t="shared" si="948"/>
        <v>32.818584619999996</v>
      </c>
      <c r="HH359" s="2195">
        <f t="shared" si="948"/>
        <v>24.614000000000001</v>
      </c>
      <c r="HJ359" s="2217">
        <f>HJ355*4</f>
        <v>49.228000000000002</v>
      </c>
      <c r="HK359" s="2199">
        <f>HK355*4</f>
        <v>-13.6568</v>
      </c>
      <c r="HL359" s="2216">
        <f>HF359</f>
        <v>47.481200000000001</v>
      </c>
      <c r="HM359" s="242">
        <f>HB359</f>
        <v>-9.845600000000001</v>
      </c>
      <c r="HN359" s="2217">
        <f>HF359+SUM(HD355:HE355)</f>
        <v>63.877300000000005</v>
      </c>
      <c r="HO359" s="2195">
        <f>HD359</f>
        <v>1.1513</v>
      </c>
      <c r="HP359" s="2009"/>
    </row>
    <row r="360" spans="202:226" x14ac:dyDescent="0.2">
      <c r="GT360" s="263" t="s">
        <v>807</v>
      </c>
      <c r="GU360" s="2200" t="s">
        <v>901</v>
      </c>
      <c r="GV360" s="2319"/>
      <c r="GW360" s="2197">
        <f t="shared" ref="GW360" si="949">GW361-GW359</f>
        <v>110.00000000000017</v>
      </c>
      <c r="GX360" s="2197">
        <f t="shared" ref="GX360:GY360" si="950">GX361-GX359</f>
        <v>138.20000000000019</v>
      </c>
      <c r="GY360" s="2197">
        <f t="shared" si="950"/>
        <v>117.19970699999986</v>
      </c>
      <c r="GZ360" s="2197">
        <f t="shared" ref="GZ360:HH360" si="951">GZ361-GZ359</f>
        <v>99.186900000000151</v>
      </c>
      <c r="HA360" s="2197">
        <f t="shared" si="951"/>
        <v>179.63440000000028</v>
      </c>
      <c r="HB360" s="2197">
        <f t="shared" si="951"/>
        <v>132.84559999999982</v>
      </c>
      <c r="HC360" s="2197">
        <f t="shared" si="951"/>
        <v>110.68132329600002</v>
      </c>
      <c r="HD360" s="2197">
        <f t="shared" si="951"/>
        <v>76.948700000000102</v>
      </c>
      <c r="HE360" s="2197">
        <f t="shared" si="951"/>
        <v>90.265599999999949</v>
      </c>
      <c r="HF360" s="2197">
        <f t="shared" si="951"/>
        <v>160.51880000000008</v>
      </c>
      <c r="HG360" s="2197">
        <f t="shared" si="951"/>
        <v>72.781151380000026</v>
      </c>
      <c r="HH360" s="2197">
        <f t="shared" si="951"/>
        <v>53.486000000000104</v>
      </c>
      <c r="HJ360" s="2218">
        <f>HJ361-HJ359</f>
        <v>230.77200000000028</v>
      </c>
      <c r="HK360" s="2331">
        <f>HK361-HK359</f>
        <v>86.056799999999427</v>
      </c>
      <c r="HL360" s="2225">
        <f t="shared" ref="HL360:HL361" si="952">HF360</f>
        <v>160.51880000000008</v>
      </c>
      <c r="HM360" s="2200">
        <f t="shared" ref="HM360:HM361" si="953">HB360</f>
        <v>132.84559999999982</v>
      </c>
      <c r="HN360" s="2218">
        <f t="shared" ref="HN360:HN361" si="954">HF360+SUM(HD356:HE356)</f>
        <v>177.02270000000016</v>
      </c>
      <c r="HO360" s="2197">
        <f t="shared" ref="HO360:HO361" si="955">HD360</f>
        <v>76.948700000000102</v>
      </c>
      <c r="HP360" s="2009"/>
      <c r="HR360" s="242" t="s">
        <v>894</v>
      </c>
    </row>
    <row r="361" spans="202:226" x14ac:dyDescent="0.2">
      <c r="GT361" s="263" t="s">
        <v>807</v>
      </c>
      <c r="GU361" s="2206" t="s">
        <v>902</v>
      </c>
      <c r="GV361" s="2320"/>
      <c r="GW361" s="2207">
        <f t="shared" ref="GW361:HH361" si="956">GW253</f>
        <v>110.00000000000017</v>
      </c>
      <c r="GX361" s="2207">
        <f t="shared" si="956"/>
        <v>138.20000000000019</v>
      </c>
      <c r="GY361" s="2207">
        <f t="shared" si="956"/>
        <v>117.19970699999986</v>
      </c>
      <c r="GZ361" s="2207">
        <f t="shared" si="956"/>
        <v>100.10000000000015</v>
      </c>
      <c r="HA361" s="2207">
        <f t="shared" si="956"/>
        <v>173.60000000000028</v>
      </c>
      <c r="HB361" s="2207">
        <f t="shared" si="956"/>
        <v>122.99999999999983</v>
      </c>
      <c r="HC361" s="2207">
        <f t="shared" si="956"/>
        <v>105.59973600000002</v>
      </c>
      <c r="HD361" s="2207">
        <f t="shared" si="956"/>
        <v>78.100000000000108</v>
      </c>
      <c r="HE361" s="2207">
        <f t="shared" si="956"/>
        <v>135.99999999999994</v>
      </c>
      <c r="HF361" s="2207">
        <f t="shared" si="956"/>
        <v>208.00000000000009</v>
      </c>
      <c r="HG361" s="2207">
        <f t="shared" si="956"/>
        <v>105.59973600000002</v>
      </c>
      <c r="HH361" s="2207">
        <f t="shared" si="956"/>
        <v>78.100000000000108</v>
      </c>
      <c r="HJ361" s="2219">
        <f>HJ357*4</f>
        <v>280.00000000000028</v>
      </c>
      <c r="HK361" s="2201">
        <f>HK357*4</f>
        <v>72.399999999999423</v>
      </c>
      <c r="HL361" s="2226">
        <f t="shared" si="952"/>
        <v>208.00000000000009</v>
      </c>
      <c r="HM361" s="263">
        <f t="shared" si="953"/>
        <v>122.99999999999983</v>
      </c>
      <c r="HN361" s="2217">
        <f t="shared" si="954"/>
        <v>240.90000000000015</v>
      </c>
      <c r="HO361" s="2198">
        <f t="shared" si="955"/>
        <v>78.100000000000108</v>
      </c>
      <c r="HP361" s="2000"/>
      <c r="HR361" s="2200" t="s">
        <v>895</v>
      </c>
    </row>
    <row r="362" spans="202:226" x14ac:dyDescent="0.2">
      <c r="GT362" s="263"/>
      <c r="HJ362" s="2216"/>
      <c r="HL362" s="2216"/>
      <c r="HN362" s="2216"/>
      <c r="HP362" s="2009"/>
      <c r="HR362" s="263" t="s">
        <v>896</v>
      </c>
    </row>
    <row r="363" spans="202:226" x14ac:dyDescent="0.2">
      <c r="GT363" s="263" t="s">
        <v>807</v>
      </c>
      <c r="GU363" s="2211" t="s">
        <v>801</v>
      </c>
      <c r="GV363" s="2320"/>
      <c r="GW363" s="2205">
        <f t="shared" ref="GW363:HH363" si="957">GW254</f>
        <v>0</v>
      </c>
      <c r="GX363" s="2205">
        <f t="shared" si="957"/>
        <v>0</v>
      </c>
      <c r="GY363" s="2205">
        <f t="shared" si="957"/>
        <v>0</v>
      </c>
      <c r="GZ363" s="2205">
        <f t="shared" si="957"/>
        <v>0</v>
      </c>
      <c r="HA363" s="2205">
        <f t="shared" si="957"/>
        <v>698.2</v>
      </c>
      <c r="HB363" s="2205">
        <f t="shared" si="957"/>
        <v>685.59999999999991</v>
      </c>
      <c r="HC363" s="2205">
        <f t="shared" si="957"/>
        <v>694.8</v>
      </c>
      <c r="HD363" s="2205">
        <f t="shared" si="957"/>
        <v>694.55</v>
      </c>
      <c r="HE363" s="2205">
        <f t="shared" si="957"/>
        <v>726.05</v>
      </c>
      <c r="HF363" s="2205">
        <f t="shared" si="957"/>
        <v>760.15</v>
      </c>
      <c r="HG363" s="2205">
        <f t="shared" si="957"/>
        <v>357.4</v>
      </c>
      <c r="HH363" s="2205">
        <f t="shared" si="957"/>
        <v>357.4</v>
      </c>
      <c r="HI363" s="2211"/>
      <c r="HJ363" s="2220">
        <f t="shared" ref="HJ363:HO363" si="958">HJ254</f>
        <v>771.4</v>
      </c>
      <c r="HK363" s="2205">
        <f t="shared" si="958"/>
        <v>709.5</v>
      </c>
      <c r="HL363" s="2220">
        <f t="shared" si="958"/>
        <v>760.15</v>
      </c>
      <c r="HM363" s="2205">
        <f t="shared" si="958"/>
        <v>685.59999999999991</v>
      </c>
      <c r="HN363" s="2220">
        <f t="shared" si="958"/>
        <v>751.2</v>
      </c>
      <c r="HO363" s="2205">
        <f t="shared" si="958"/>
        <v>694.55</v>
      </c>
      <c r="HP363" s="2009"/>
    </row>
    <row r="364" spans="202:226" x14ac:dyDescent="0.2">
      <c r="GT364" s="263"/>
      <c r="GW364" s="242"/>
      <c r="GX364" s="242"/>
      <c r="GY364" s="242"/>
      <c r="GZ364" s="242"/>
      <c r="HA364" s="242"/>
      <c r="HB364" s="242"/>
      <c r="HC364" s="242"/>
      <c r="HD364" s="242"/>
      <c r="HE364" s="242"/>
      <c r="HF364" s="242"/>
      <c r="HG364" s="242"/>
      <c r="HH364" s="242"/>
      <c r="HJ364" s="2216"/>
      <c r="HL364" s="2216"/>
      <c r="HN364" s="2216"/>
      <c r="HP364" s="2009"/>
    </row>
    <row r="365" spans="202:226" x14ac:dyDescent="0.2">
      <c r="GT365" s="263" t="s">
        <v>807</v>
      </c>
      <c r="GU365" s="242" t="s">
        <v>903</v>
      </c>
      <c r="GV365" s="2319"/>
      <c r="GW365" s="2202" t="str">
        <f t="shared" ref="GW365" si="959">IFERROR(GW359/GW363,"N/A")</f>
        <v>N/A</v>
      </c>
      <c r="GX365" s="2202" t="str">
        <f t="shared" ref="GX365:GY365" si="960">IFERROR(GX359/GX363,"N/A")</f>
        <v>N/A</v>
      </c>
      <c r="GY365" s="2202" t="str">
        <f t="shared" si="960"/>
        <v>N/A</v>
      </c>
      <c r="GZ365" s="2202" t="str">
        <f t="shared" ref="GZ365" si="961">IFERROR(GZ359/GZ363,"N/A")</f>
        <v>N/A</v>
      </c>
      <c r="HA365" s="2202">
        <f t="shared" ref="HA365:HH365" si="962">IFERROR(HA359/HA363,"N/A")</f>
        <v>-8.6427957605270684E-3</v>
      </c>
      <c r="HB365" s="2202">
        <f t="shared" si="962"/>
        <v>-1.4360560093348894E-2</v>
      </c>
      <c r="HC365" s="2202">
        <f t="shared" si="962"/>
        <v>-7.3137410708117457E-3</v>
      </c>
      <c r="HD365" s="2202">
        <f t="shared" si="962"/>
        <v>1.6576200417536535E-3</v>
      </c>
      <c r="HE365" s="2202">
        <f t="shared" si="962"/>
        <v>6.2990703119619865E-2</v>
      </c>
      <c r="HF365" s="2202">
        <f t="shared" si="962"/>
        <v>6.2462934947049929E-2</v>
      </c>
      <c r="HG365" s="2202">
        <f t="shared" si="962"/>
        <v>9.1825922271964178E-2</v>
      </c>
      <c r="HH365" s="2202">
        <f t="shared" si="962"/>
        <v>6.8869613878007843E-2</v>
      </c>
      <c r="HJ365" s="2221">
        <f t="shared" ref="HJ365:HO365" si="963">IFERROR(HJ359/HJ363,"N/A")</f>
        <v>6.3816437645838733E-2</v>
      </c>
      <c r="HK365" s="2227">
        <f t="shared" si="963"/>
        <v>-1.9248484848484848E-2</v>
      </c>
      <c r="HL365" s="2221">
        <f t="shared" si="963"/>
        <v>6.2462934947049929E-2</v>
      </c>
      <c r="HM365" s="2227">
        <f t="shared" si="963"/>
        <v>-1.4360560093348894E-2</v>
      </c>
      <c r="HN365" s="2221">
        <f t="shared" si="963"/>
        <v>8.5033679446219382E-2</v>
      </c>
      <c r="HO365" s="2202">
        <f t="shared" si="963"/>
        <v>1.6576200417536535E-3</v>
      </c>
    </row>
    <row r="366" spans="202:226" x14ac:dyDescent="0.2">
      <c r="GT366" s="263" t="s">
        <v>807</v>
      </c>
      <c r="GU366" s="2200" t="s">
        <v>904</v>
      </c>
      <c r="GV366" s="2319"/>
      <c r="GW366" s="2203" t="str">
        <f t="shared" ref="GW366" si="964">IFERROR(GW360/GW363,"N/A")</f>
        <v>N/A</v>
      </c>
      <c r="GX366" s="2203" t="str">
        <f t="shared" ref="GX366:GY366" si="965">IFERROR(GX360/GX363,"N/A")</f>
        <v>N/A</v>
      </c>
      <c r="GY366" s="2203" t="str">
        <f t="shared" si="965"/>
        <v>N/A</v>
      </c>
      <c r="GZ366" s="2203" t="str">
        <f t="shared" ref="GZ366" si="966">IFERROR(GZ360/GZ363,"N/A")</f>
        <v>N/A</v>
      </c>
      <c r="HA366" s="2203">
        <f t="shared" ref="HA366:HH366" si="967">IFERROR(HA360/HA363,"N/A")</f>
        <v>0.25728215411057043</v>
      </c>
      <c r="HB366" s="2203">
        <f t="shared" si="967"/>
        <v>0.19376546091015145</v>
      </c>
      <c r="HC366" s="2203">
        <f t="shared" si="967"/>
        <v>0.15929954417962006</v>
      </c>
      <c r="HD366" s="2203">
        <f t="shared" si="967"/>
        <v>0.11078928802821987</v>
      </c>
      <c r="HE366" s="2203">
        <f t="shared" si="967"/>
        <v>0.12432422009503472</v>
      </c>
      <c r="HF366" s="2203">
        <f t="shared" si="967"/>
        <v>0.21116726961783869</v>
      </c>
      <c r="HG366" s="2203">
        <f t="shared" si="967"/>
        <v>0.20364060263010642</v>
      </c>
      <c r="HH366" s="2203">
        <f t="shared" si="967"/>
        <v>0.14965304980414132</v>
      </c>
      <c r="HJ366" s="2222">
        <f t="shared" ref="HJ366:HO366" si="968">IFERROR(HJ360/HJ363,"N/A")</f>
        <v>0.29915996888773694</v>
      </c>
      <c r="HK366" s="2228">
        <f t="shared" si="968"/>
        <v>0.1212921775898512</v>
      </c>
      <c r="HL366" s="2222">
        <f t="shared" si="968"/>
        <v>0.21116726961783869</v>
      </c>
      <c r="HM366" s="2228">
        <f t="shared" si="968"/>
        <v>0.19376546091015145</v>
      </c>
      <c r="HN366" s="2222">
        <f t="shared" si="968"/>
        <v>0.23565322151224727</v>
      </c>
      <c r="HO366" s="2203">
        <f t="shared" si="968"/>
        <v>0.11078928802821987</v>
      </c>
      <c r="HP366" s="2012"/>
    </row>
    <row r="367" spans="202:226" x14ac:dyDescent="0.2">
      <c r="GT367" s="263" t="s">
        <v>807</v>
      </c>
      <c r="GU367" s="263" t="s">
        <v>905</v>
      </c>
      <c r="GV367" s="2319"/>
      <c r="GW367" s="2204" t="str">
        <f t="shared" ref="GW367" si="969">IFERROR(GW361/GW363,"N/A")</f>
        <v>N/A</v>
      </c>
      <c r="GX367" s="2204" t="str">
        <f t="shared" ref="GX367:GY367" si="970">IFERROR(GX361/GX363,"N/A")</f>
        <v>N/A</v>
      </c>
      <c r="GY367" s="2204" t="str">
        <f t="shared" si="970"/>
        <v>N/A</v>
      </c>
      <c r="GZ367" s="2204" t="str">
        <f t="shared" ref="GZ367" si="971">IFERROR(GZ361/GZ363,"N/A")</f>
        <v>N/A</v>
      </c>
      <c r="HA367" s="2204">
        <f t="shared" ref="HA367:HH367" si="972">IFERROR(HA361/HA363,"N/A")</f>
        <v>0.24863935835004336</v>
      </c>
      <c r="HB367" s="2204">
        <f t="shared" si="972"/>
        <v>0.17940490081680258</v>
      </c>
      <c r="HC367" s="2204">
        <f t="shared" si="972"/>
        <v>0.15198580310880833</v>
      </c>
      <c r="HD367" s="2204">
        <f t="shared" si="972"/>
        <v>0.11244690806997353</v>
      </c>
      <c r="HE367" s="2204">
        <f t="shared" si="972"/>
        <v>0.18731492321465457</v>
      </c>
      <c r="HF367" s="2204">
        <f t="shared" si="972"/>
        <v>0.27363020456488862</v>
      </c>
      <c r="HG367" s="2204">
        <f t="shared" si="972"/>
        <v>0.29546652490207059</v>
      </c>
      <c r="HH367" s="2204">
        <f t="shared" si="972"/>
        <v>0.21852266368214918</v>
      </c>
      <c r="HJ367" s="2223">
        <f t="shared" ref="HJ367:HO367" si="973">IFERROR(HJ361/HJ363,"N/A")</f>
        <v>0.36297640653357571</v>
      </c>
      <c r="HK367" s="2229">
        <f t="shared" si="973"/>
        <v>0.10204369274136635</v>
      </c>
      <c r="HL367" s="2223">
        <f t="shared" si="973"/>
        <v>0.27363020456488862</v>
      </c>
      <c r="HM367" s="2229">
        <f t="shared" si="973"/>
        <v>0.17940490081680258</v>
      </c>
      <c r="HN367" s="2223">
        <f t="shared" si="973"/>
        <v>0.32068690095846664</v>
      </c>
      <c r="HO367" s="2204">
        <f t="shared" si="973"/>
        <v>0.11244690806997353</v>
      </c>
      <c r="HP367" s="2012"/>
    </row>
    <row r="368" spans="202:226" x14ac:dyDescent="0.2">
      <c r="GT368" s="263"/>
      <c r="HJ368" s="2216"/>
      <c r="HK368" s="657"/>
      <c r="HL368" s="2216"/>
      <c r="HM368" s="657"/>
      <c r="HN368" s="2216"/>
      <c r="HP368" s="2013"/>
    </row>
    <row r="369" spans="202:223" x14ac:dyDescent="0.2">
      <c r="GT369" s="263" t="s">
        <v>807</v>
      </c>
      <c r="GU369" s="2211" t="str">
        <f>GU23</f>
        <v>Genomsnittligt antal aktier, tusental (Ingen utspädning finns)</v>
      </c>
      <c r="GV369" s="2319"/>
      <c r="GW369" s="2212">
        <f t="shared" ref="GW369:HH369" si="974">GW23</f>
        <v>7399</v>
      </c>
      <c r="GX369" s="2212">
        <f t="shared" si="974"/>
        <v>7399</v>
      </c>
      <c r="GY369" s="2212">
        <f t="shared" si="974"/>
        <v>7399</v>
      </c>
      <c r="GZ369" s="2212">
        <f t="shared" si="974"/>
        <v>7399</v>
      </c>
      <c r="HA369" s="2212">
        <f t="shared" si="974"/>
        <v>7399</v>
      </c>
      <c r="HB369" s="2212">
        <f t="shared" si="974"/>
        <v>7399</v>
      </c>
      <c r="HC369" s="2212">
        <f t="shared" si="974"/>
        <v>7399</v>
      </c>
      <c r="HD369" s="2212">
        <f t="shared" si="974"/>
        <v>7399</v>
      </c>
      <c r="HE369" s="2212">
        <f t="shared" si="974"/>
        <v>7399</v>
      </c>
      <c r="HF369" s="2212">
        <f t="shared" si="974"/>
        <v>7399</v>
      </c>
      <c r="HG369" s="2212">
        <f t="shared" si="974"/>
        <v>7399</v>
      </c>
      <c r="HH369" s="2212">
        <f t="shared" si="974"/>
        <v>7399</v>
      </c>
      <c r="HJ369" s="2224">
        <f>AVERAGEA(HF369)</f>
        <v>7399</v>
      </c>
      <c r="HK369" s="2230">
        <f>AVERAGEA(HB369)</f>
        <v>7399</v>
      </c>
      <c r="HL369" s="2224">
        <f>AVERAGEA(HE369:HF369)</f>
        <v>7399</v>
      </c>
      <c r="HM369" s="2230">
        <f>AVERAGEA(HA369:HB369)</f>
        <v>7399</v>
      </c>
      <c r="HN369" s="2224">
        <f>AVERAGEA(HC369:HF369)</f>
        <v>7399</v>
      </c>
      <c r="HO369" s="2212">
        <f>AVERAGEA(HA369:HD369)</f>
        <v>7399</v>
      </c>
    </row>
    <row r="370" spans="202:223" x14ac:dyDescent="0.2">
      <c r="GT370" s="263" t="s">
        <v>807</v>
      </c>
      <c r="GU370" s="2211" t="str">
        <f>GU286</f>
        <v>Resultat från innehav utan bestämmande inflytande (QTD)</v>
      </c>
      <c r="GV370" s="2319"/>
      <c r="GW370" s="2205">
        <f t="shared" ref="GW370:HH370" si="975">GW286</f>
        <v>2.1</v>
      </c>
      <c r="GX370" s="2205">
        <f t="shared" si="975"/>
        <v>2.1999999999999997</v>
      </c>
      <c r="GY370" s="2205">
        <f t="shared" si="975"/>
        <v>2.1000000000000005</v>
      </c>
      <c r="GZ370" s="2205">
        <f t="shared" si="975"/>
        <v>0</v>
      </c>
      <c r="HA370" s="2205">
        <f t="shared" si="975"/>
        <v>1.6</v>
      </c>
      <c r="HB370" s="2205">
        <f t="shared" si="975"/>
        <v>1.4</v>
      </c>
      <c r="HC370" s="2205">
        <f t="shared" si="975"/>
        <v>0.79999999999999982</v>
      </c>
      <c r="HD370" s="2205">
        <f t="shared" si="975"/>
        <v>0.79999999999999982</v>
      </c>
      <c r="HE370" s="2205">
        <f t="shared" si="975"/>
        <v>1.1000000000000001</v>
      </c>
      <c r="HF370" s="2205">
        <f t="shared" si="975"/>
        <v>1.5</v>
      </c>
      <c r="HG370" s="2205">
        <f t="shared" si="975"/>
        <v>1.1999999999999997</v>
      </c>
      <c r="HH370" s="2205">
        <f t="shared" si="975"/>
        <v>0.79999999999999982</v>
      </c>
      <c r="HJ370" s="2220">
        <f t="shared" ref="HJ370" si="976">HF370</f>
        <v>1.5</v>
      </c>
      <c r="HK370" s="2231">
        <f t="shared" ref="HK370" si="977">HB370</f>
        <v>1.4</v>
      </c>
      <c r="HL370" s="2220">
        <f t="shared" ref="HL370" si="978">SUM(HE370:HF370)</f>
        <v>2.6</v>
      </c>
      <c r="HM370" s="2231">
        <f t="shared" ref="HM370" si="979">SUM(HA370:HB370)</f>
        <v>3</v>
      </c>
      <c r="HN370" s="2220">
        <f t="shared" ref="HN370" si="980">SUM(HC370:HF370)</f>
        <v>4.1999999999999993</v>
      </c>
      <c r="HO370" s="2205">
        <f t="shared" ref="HO370" si="981">SUM(HA370:HD370)</f>
        <v>4.5999999999999996</v>
      </c>
    </row>
    <row r="371" spans="202:223" x14ac:dyDescent="0.2">
      <c r="GT371" s="263"/>
      <c r="HJ371" s="2216"/>
      <c r="HK371" s="657"/>
      <c r="HL371" s="2216"/>
      <c r="HM371" s="657"/>
      <c r="HN371" s="2216"/>
    </row>
    <row r="372" spans="202:223" x14ac:dyDescent="0.2">
      <c r="GT372" s="263" t="s">
        <v>807</v>
      </c>
      <c r="GU372" s="242" t="s">
        <v>802</v>
      </c>
      <c r="GV372" s="2108"/>
      <c r="GW372" s="2195">
        <f t="shared" ref="GW372:HH372" si="982">IFERROR(((GW355))/GW$369*1000,"N/A")</f>
        <v>0</v>
      </c>
      <c r="GX372" s="2195">
        <f t="shared" si="982"/>
        <v>0</v>
      </c>
      <c r="GY372" s="2195">
        <f t="shared" si="982"/>
        <v>0</v>
      </c>
      <c r="GZ372" s="2195">
        <f t="shared" si="982"/>
        <v>0.12340856872550345</v>
      </c>
      <c r="HA372" s="2195">
        <f t="shared" si="982"/>
        <v>-0.20389241789431004</v>
      </c>
      <c r="HB372" s="2195">
        <f t="shared" si="982"/>
        <v>-0.46144073523449114</v>
      </c>
      <c r="HC372" s="2195">
        <f t="shared" si="982"/>
        <v>0.15023651844843897</v>
      </c>
      <c r="HD372" s="2195">
        <f t="shared" si="982"/>
        <v>0.67069874307338839</v>
      </c>
      <c r="HE372" s="2195">
        <f t="shared" si="982"/>
        <v>1.5452899040410866</v>
      </c>
      <c r="HF372" s="2195">
        <f t="shared" si="982"/>
        <v>1.6633328828220031</v>
      </c>
      <c r="HG372" s="2195">
        <f t="shared" si="982"/>
        <v>0.11804297878091635</v>
      </c>
      <c r="HH372" s="2195">
        <f t="shared" si="982"/>
        <v>0</v>
      </c>
      <c r="HJ372" s="2213">
        <f t="shared" ref="HJ372:HO372" si="983">IFERROR(((HJ355))/HJ$369*1000,"N/A")</f>
        <v>1.6633328828220031</v>
      </c>
      <c r="HK372" s="2329">
        <f t="shared" si="983"/>
        <v>-0.46144073523449114</v>
      </c>
      <c r="HL372" s="2213">
        <f t="shared" si="983"/>
        <v>3.2086227868630899</v>
      </c>
      <c r="HM372" s="2329">
        <f t="shared" si="983"/>
        <v>-0.66533315312880126</v>
      </c>
      <c r="HN372" s="2213">
        <f t="shared" si="983"/>
        <v>4.0295580483849172</v>
      </c>
      <c r="HO372" s="2195">
        <f t="shared" si="983"/>
        <v>0.15560210839302607</v>
      </c>
    </row>
    <row r="373" spans="202:223" x14ac:dyDescent="0.2">
      <c r="GT373" s="263" t="s">
        <v>807</v>
      </c>
      <c r="GU373" s="2200" t="s">
        <v>803</v>
      </c>
      <c r="GV373" s="2108"/>
      <c r="GW373" s="2197">
        <f t="shared" ref="GW373:HH373" si="984">IFERROR(((GW356-GW$370))/GW$369*1000,"N/A")</f>
        <v>3.4328963373428896</v>
      </c>
      <c r="GX373" s="2197">
        <f t="shared" si="984"/>
        <v>5.3250439248547172</v>
      </c>
      <c r="GY373" s="2197">
        <f t="shared" si="984"/>
        <v>2.2570617651033671</v>
      </c>
      <c r="GZ373" s="2197">
        <f t="shared" si="984"/>
        <v>1.525462900391976</v>
      </c>
      <c r="HA373" s="2197">
        <f t="shared" si="984"/>
        <v>5.8533045006082043</v>
      </c>
      <c r="HB373" s="2197">
        <f t="shared" si="984"/>
        <v>2.7185025003378644</v>
      </c>
      <c r="HC373" s="2197">
        <f t="shared" si="984"/>
        <v>2.1338559264765635</v>
      </c>
      <c r="HD373" s="2197">
        <f t="shared" si="984"/>
        <v>-0.92749020137855198</v>
      </c>
      <c r="HE373" s="2197">
        <f t="shared" si="984"/>
        <v>2.9012569266117025</v>
      </c>
      <c r="HF373" s="2197">
        <f t="shared" si="984"/>
        <v>7.5946749560751545</v>
      </c>
      <c r="HG373" s="2197">
        <f t="shared" si="984"/>
        <v>-3.6320313555885995</v>
      </c>
      <c r="HH373" s="2197">
        <f t="shared" si="984"/>
        <v>-0.25679145830516359</v>
      </c>
      <c r="HJ373" s="2214">
        <f t="shared" ref="HJ373:HO374" si="985">IFERROR(((HJ356-HJ$370))/HJ$369*1000,"N/A")</f>
        <v>7.5946749560751545</v>
      </c>
      <c r="HK373" s="2232">
        <f t="shared" si="985"/>
        <v>2.7185025003378644</v>
      </c>
      <c r="HL373" s="2214">
        <f t="shared" si="985"/>
        <v>10.495931882686858</v>
      </c>
      <c r="HM373" s="2232">
        <f t="shared" si="985"/>
        <v>8.5718070009460678</v>
      </c>
      <c r="HN373" s="2214">
        <f t="shared" si="985"/>
        <v>11.702297607784866</v>
      </c>
      <c r="HO373" s="2197">
        <f t="shared" si="985"/>
        <v>9.7781727260440832</v>
      </c>
    </row>
    <row r="374" spans="202:223" x14ac:dyDescent="0.2">
      <c r="GT374" s="263" t="s">
        <v>807</v>
      </c>
      <c r="GU374" s="263" t="s">
        <v>804</v>
      </c>
      <c r="GV374" s="2108"/>
      <c r="GW374" s="2198">
        <f t="shared" ref="GW374:HH374" si="986">IFERROR(((GW357-GW$370))/GW$369*1000,"N/A")</f>
        <v>3.4328963373428896</v>
      </c>
      <c r="GX374" s="2198">
        <f t="shared" si="986"/>
        <v>5.3250439248547172</v>
      </c>
      <c r="GY374" s="2198">
        <f t="shared" si="986"/>
        <v>2.2570617651033671</v>
      </c>
      <c r="GZ374" s="2198">
        <f t="shared" si="986"/>
        <v>1.6488714691174793</v>
      </c>
      <c r="HA374" s="2198">
        <f t="shared" si="986"/>
        <v>5.6494120827138943</v>
      </c>
      <c r="HB374" s="2198">
        <f t="shared" si="986"/>
        <v>2.2570617651033729</v>
      </c>
      <c r="HC374" s="2198">
        <f t="shared" si="986"/>
        <v>2.284092444925002</v>
      </c>
      <c r="HD374" s="2198">
        <f t="shared" si="986"/>
        <v>-0.25679145830516359</v>
      </c>
      <c r="HE374" s="2198">
        <f t="shared" si="986"/>
        <v>4.4465468306527889</v>
      </c>
      <c r="HF374" s="2198">
        <f t="shared" si="986"/>
        <v>9.2580078388971589</v>
      </c>
      <c r="HG374" s="2198">
        <f t="shared" si="986"/>
        <v>-3.5139883768076832</v>
      </c>
      <c r="HH374" s="2198">
        <f t="shared" si="986"/>
        <v>-0.25679145830516359</v>
      </c>
      <c r="HJ374" s="2215">
        <f t="shared" si="985"/>
        <v>9.2580078388971589</v>
      </c>
      <c r="HK374" s="2330">
        <f t="shared" si="985"/>
        <v>2.2570617651033729</v>
      </c>
      <c r="HL374" s="2215">
        <f t="shared" si="985"/>
        <v>13.704554669549948</v>
      </c>
      <c r="HM374" s="2330">
        <f t="shared" si="985"/>
        <v>7.9064738478172671</v>
      </c>
      <c r="HN374" s="2215">
        <f t="shared" si="985"/>
        <v>15.731855656169785</v>
      </c>
      <c r="HO374" s="2198">
        <f t="shared" si="985"/>
        <v>9.9337748344371057</v>
      </c>
    </row>
    <row r="375" spans="202:223" x14ac:dyDescent="0.2">
      <c r="GT375" s="263" t="s">
        <v>807</v>
      </c>
    </row>
    <row r="376" spans="202:223" x14ac:dyDescent="0.2">
      <c r="GU376" s="2151" t="s">
        <v>181</v>
      </c>
      <c r="GV376" s="263"/>
      <c r="GW376" s="2152">
        <f>GW357-SUM(GW355:GW356)</f>
        <v>0</v>
      </c>
      <c r="GX376" s="2152">
        <f t="shared" ref="GX376:HH376" si="987">GX357-SUM(GX355:GX356)</f>
        <v>0</v>
      </c>
      <c r="GY376" s="2152">
        <f t="shared" si="987"/>
        <v>0</v>
      </c>
      <c r="GZ376" s="2152">
        <f t="shared" si="987"/>
        <v>0</v>
      </c>
      <c r="HA376" s="2152">
        <f t="shared" si="987"/>
        <v>0</v>
      </c>
      <c r="HB376" s="2152">
        <f t="shared" si="987"/>
        <v>0</v>
      </c>
      <c r="HC376" s="2152">
        <f t="shared" si="987"/>
        <v>0</v>
      </c>
      <c r="HD376" s="2152">
        <f t="shared" si="987"/>
        <v>0</v>
      </c>
      <c r="HE376" s="2152">
        <f t="shared" si="987"/>
        <v>0</v>
      </c>
      <c r="HF376" s="2152">
        <f t="shared" si="987"/>
        <v>0</v>
      </c>
      <c r="HG376" s="2152">
        <f t="shared" si="987"/>
        <v>0</v>
      </c>
      <c r="HH376" s="2152">
        <f t="shared" si="987"/>
        <v>0</v>
      </c>
      <c r="HJ376" s="2152">
        <f t="shared" ref="HJ376:HO376" si="988">HJ357-SUM(HJ355:HJ356)</f>
        <v>0</v>
      </c>
      <c r="HK376" s="2152">
        <f t="shared" si="988"/>
        <v>0</v>
      </c>
      <c r="HL376" s="2152">
        <f t="shared" si="988"/>
        <v>0</v>
      </c>
      <c r="HM376" s="2152">
        <f t="shared" si="988"/>
        <v>0</v>
      </c>
      <c r="HN376" s="2152">
        <f t="shared" si="988"/>
        <v>0</v>
      </c>
      <c r="HO376" s="2152">
        <f t="shared" si="988"/>
        <v>0</v>
      </c>
    </row>
    <row r="377" spans="202:223" x14ac:dyDescent="0.2">
      <c r="GU377" s="2151" t="s">
        <v>181</v>
      </c>
      <c r="GW377" s="2152">
        <f>GW361-SUM(GW359:GW360)</f>
        <v>0</v>
      </c>
      <c r="GX377" s="2152">
        <f t="shared" ref="GX377:HH377" si="989">GX361-SUM(GX359:GX360)</f>
        <v>0</v>
      </c>
      <c r="GY377" s="2152">
        <f t="shared" si="989"/>
        <v>0</v>
      </c>
      <c r="GZ377" s="2152">
        <f t="shared" si="989"/>
        <v>0</v>
      </c>
      <c r="HA377" s="2152">
        <f t="shared" si="989"/>
        <v>0</v>
      </c>
      <c r="HB377" s="2152">
        <f t="shared" si="989"/>
        <v>0</v>
      </c>
      <c r="HC377" s="2152">
        <f t="shared" si="989"/>
        <v>0</v>
      </c>
      <c r="HD377" s="2152">
        <f t="shared" si="989"/>
        <v>0</v>
      </c>
      <c r="HE377" s="2152">
        <f t="shared" si="989"/>
        <v>0</v>
      </c>
      <c r="HF377" s="2152">
        <f t="shared" si="989"/>
        <v>0</v>
      </c>
      <c r="HG377" s="2152">
        <f t="shared" si="989"/>
        <v>0</v>
      </c>
      <c r="HH377" s="2152">
        <f t="shared" si="989"/>
        <v>0</v>
      </c>
      <c r="HJ377" s="2152">
        <f t="shared" ref="HJ377:HO377" si="990">HJ361-SUM(HJ359:HJ360)</f>
        <v>0</v>
      </c>
      <c r="HK377" s="2152">
        <f t="shared" si="990"/>
        <v>0</v>
      </c>
      <c r="HL377" s="2152">
        <f t="shared" si="990"/>
        <v>0</v>
      </c>
      <c r="HM377" s="2152">
        <f t="shared" si="990"/>
        <v>0</v>
      </c>
      <c r="HN377" s="2152">
        <f t="shared" si="990"/>
        <v>0</v>
      </c>
      <c r="HO377" s="2152">
        <f t="shared" si="990"/>
        <v>0</v>
      </c>
    </row>
    <row r="378" spans="202:223" x14ac:dyDescent="0.2">
      <c r="GU378" s="2151" t="s">
        <v>181</v>
      </c>
      <c r="GW378" s="2152">
        <f>GW374-SUM(GW372:GW373)</f>
        <v>0</v>
      </c>
      <c r="GX378" s="2152">
        <f t="shared" ref="GX378:HH378" si="991">GX374-SUM(GX372:GX373)</f>
        <v>0</v>
      </c>
      <c r="GY378" s="2152">
        <f t="shared" si="991"/>
        <v>0</v>
      </c>
      <c r="GZ378" s="2152">
        <f t="shared" si="991"/>
        <v>0</v>
      </c>
      <c r="HA378" s="2152">
        <f t="shared" si="991"/>
        <v>0</v>
      </c>
      <c r="HB378" s="2152">
        <f t="shared" si="991"/>
        <v>0</v>
      </c>
      <c r="HC378" s="2152">
        <f t="shared" si="991"/>
        <v>0</v>
      </c>
      <c r="HD378" s="2152">
        <f t="shared" si="991"/>
        <v>0</v>
      </c>
      <c r="HE378" s="2152">
        <f t="shared" si="991"/>
        <v>0</v>
      </c>
      <c r="HF378" s="2152">
        <f t="shared" si="991"/>
        <v>0</v>
      </c>
      <c r="HG378" s="2152">
        <f t="shared" si="991"/>
        <v>0</v>
      </c>
      <c r="HH378" s="2152">
        <f t="shared" si="991"/>
        <v>0</v>
      </c>
      <c r="HJ378" s="2152">
        <f t="shared" ref="HJ378:HO378" si="992">HJ374-SUM(HJ372:HJ373)</f>
        <v>0</v>
      </c>
      <c r="HK378" s="2152">
        <f t="shared" si="992"/>
        <v>0</v>
      </c>
      <c r="HL378" s="2152">
        <f t="shared" si="992"/>
        <v>0</v>
      </c>
      <c r="HM378" s="2152">
        <f t="shared" si="992"/>
        <v>0</v>
      </c>
      <c r="HN378" s="2152">
        <f t="shared" si="992"/>
        <v>0</v>
      </c>
      <c r="HO378" s="2152">
        <f t="shared" si="992"/>
        <v>0</v>
      </c>
    </row>
    <row r="380" spans="202:223" x14ac:dyDescent="0.2">
      <c r="GU380" s="2151" t="s">
        <v>181</v>
      </c>
      <c r="GW380" s="2152">
        <f t="shared" ref="GW380:HH380" si="993">GW372-GW343</f>
        <v>0</v>
      </c>
      <c r="GX380" s="2152">
        <f t="shared" si="993"/>
        <v>0</v>
      </c>
      <c r="GY380" s="2152">
        <f t="shared" si="993"/>
        <v>0</v>
      </c>
      <c r="GZ380" s="2152">
        <f t="shared" si="993"/>
        <v>0</v>
      </c>
      <c r="HA380" s="2152">
        <f t="shared" si="993"/>
        <v>0</v>
      </c>
      <c r="HB380" s="2152">
        <f t="shared" si="993"/>
        <v>0</v>
      </c>
      <c r="HC380" s="2152">
        <f t="shared" si="993"/>
        <v>0</v>
      </c>
      <c r="HD380" s="2152">
        <f t="shared" si="993"/>
        <v>0</v>
      </c>
      <c r="HE380" s="2152">
        <f t="shared" si="993"/>
        <v>0</v>
      </c>
      <c r="HF380" s="2152">
        <f t="shared" si="993"/>
        <v>0</v>
      </c>
      <c r="HG380" s="2152">
        <f t="shared" si="993"/>
        <v>0</v>
      </c>
      <c r="HH380" s="2152">
        <f t="shared" si="993"/>
        <v>0</v>
      </c>
      <c r="HJ380" s="2152">
        <f t="shared" ref="HJ380:HO380" si="994">HJ372-HJ343</f>
        <v>0</v>
      </c>
      <c r="HK380" s="2152">
        <f t="shared" si="994"/>
        <v>0</v>
      </c>
      <c r="HL380" s="2152">
        <f t="shared" si="994"/>
        <v>0</v>
      </c>
      <c r="HM380" s="2152">
        <f t="shared" si="994"/>
        <v>0</v>
      </c>
      <c r="HN380" s="2152">
        <f t="shared" si="994"/>
        <v>0</v>
      </c>
      <c r="HO380" s="2152">
        <f t="shared" si="994"/>
        <v>0</v>
      </c>
    </row>
    <row r="395" spans="205:216" x14ac:dyDescent="0.2">
      <c r="GW395" s="242"/>
      <c r="GX395" s="242"/>
      <c r="GY395" s="242"/>
      <c r="GZ395" s="242"/>
      <c r="HA395" s="242"/>
      <c r="HB395" s="242"/>
      <c r="HC395" s="242"/>
      <c r="HD395" s="242"/>
      <c r="HE395" s="242"/>
      <c r="HF395" s="242"/>
      <c r="HG395" s="242"/>
      <c r="HH395" s="242"/>
    </row>
    <row r="396" spans="205:216" x14ac:dyDescent="0.2">
      <c r="GW396" s="242"/>
      <c r="GX396" s="242"/>
      <c r="GY396" s="242"/>
      <c r="GZ396" s="242"/>
      <c r="HA396" s="242"/>
      <c r="HB396" s="242"/>
      <c r="HC396" s="242"/>
      <c r="HD396" s="242"/>
      <c r="HE396" s="242"/>
      <c r="HF396" s="242"/>
      <c r="HG396" s="242"/>
      <c r="HH396" s="242"/>
    </row>
    <row r="397" spans="205:216" x14ac:dyDescent="0.2">
      <c r="GW397" s="242"/>
      <c r="GX397" s="242"/>
      <c r="GY397" s="242"/>
      <c r="GZ397" s="242"/>
      <c r="HA397" s="242"/>
      <c r="HB397" s="242"/>
      <c r="HC397" s="242"/>
      <c r="HD397" s="242"/>
      <c r="HE397" s="242"/>
      <c r="HF397" s="242"/>
      <c r="HG397" s="242"/>
      <c r="HH397" s="242"/>
    </row>
    <row r="398" spans="205:216" x14ac:dyDescent="0.2">
      <c r="GW398" s="242"/>
      <c r="GX398" s="242"/>
      <c r="GY398" s="242"/>
      <c r="GZ398" s="242"/>
      <c r="HA398" s="242"/>
      <c r="HB398" s="242"/>
      <c r="HC398" s="242"/>
      <c r="HD398" s="242"/>
      <c r="HE398" s="242"/>
      <c r="HF398" s="242"/>
      <c r="HG398" s="242"/>
      <c r="HH398" s="242"/>
    </row>
    <row r="399" spans="205:216" x14ac:dyDescent="0.2">
      <c r="GW399" s="242"/>
      <c r="GX399" s="242"/>
      <c r="GY399" s="242"/>
      <c r="GZ399" s="242"/>
      <c r="HA399" s="242"/>
      <c r="HB399" s="242"/>
      <c r="HC399" s="242"/>
      <c r="HD399" s="242"/>
      <c r="HE399" s="242"/>
      <c r="HF399" s="242"/>
      <c r="HG399" s="242"/>
      <c r="HH399" s="242"/>
    </row>
    <row r="400" spans="205:216" x14ac:dyDescent="0.2">
      <c r="GW400" s="242"/>
      <c r="GX400" s="242"/>
      <c r="GY400" s="242"/>
      <c r="GZ400" s="242"/>
      <c r="HA400" s="242"/>
      <c r="HB400" s="242"/>
      <c r="HC400" s="242"/>
      <c r="HD400" s="242"/>
      <c r="HE400" s="242"/>
      <c r="HF400" s="242"/>
      <c r="HG400" s="242"/>
      <c r="HH400" s="242"/>
    </row>
    <row r="401" spans="205:216" x14ac:dyDescent="0.2">
      <c r="GW401" s="242"/>
      <c r="GX401" s="242"/>
      <c r="GY401" s="242"/>
      <c r="GZ401" s="242"/>
      <c r="HA401" s="242"/>
      <c r="HB401" s="242"/>
      <c r="HC401" s="242"/>
      <c r="HD401" s="242"/>
      <c r="HE401" s="242"/>
      <c r="HF401" s="242"/>
      <c r="HG401" s="242"/>
      <c r="HH401" s="242"/>
    </row>
    <row r="402" spans="205:216" x14ac:dyDescent="0.2">
      <c r="GW402" s="242"/>
      <c r="GX402" s="242"/>
      <c r="GY402" s="242"/>
      <c r="GZ402" s="242"/>
      <c r="HA402" s="242"/>
      <c r="HB402" s="242"/>
      <c r="HC402" s="242"/>
      <c r="HD402" s="242"/>
      <c r="HE402" s="242"/>
      <c r="HF402" s="242"/>
      <c r="HG402" s="242"/>
      <c r="HH402" s="242"/>
    </row>
    <row r="403" spans="205:216" x14ac:dyDescent="0.2">
      <c r="GW403" s="242"/>
      <c r="GX403" s="242"/>
      <c r="GY403" s="242"/>
      <c r="GZ403" s="242"/>
      <c r="HA403" s="242"/>
      <c r="HB403" s="242"/>
      <c r="HC403" s="242"/>
      <c r="HD403" s="242"/>
      <c r="HE403" s="242"/>
      <c r="HF403" s="242"/>
      <c r="HG403" s="242"/>
      <c r="HH403" s="242"/>
    </row>
    <row r="404" spans="205:216" x14ac:dyDescent="0.2">
      <c r="GW404" s="242"/>
      <c r="GX404" s="242"/>
      <c r="GY404" s="242"/>
      <c r="GZ404" s="242"/>
      <c r="HA404" s="242"/>
      <c r="HB404" s="242"/>
      <c r="HC404" s="242"/>
      <c r="HD404" s="242"/>
      <c r="HE404" s="242"/>
      <c r="HF404" s="242"/>
      <c r="HG404" s="242"/>
      <c r="HH404" s="242"/>
    </row>
    <row r="405" spans="205:216" x14ac:dyDescent="0.2">
      <c r="GW405" s="242"/>
      <c r="GX405" s="242"/>
      <c r="GY405" s="242"/>
      <c r="GZ405" s="242"/>
      <c r="HA405" s="242"/>
      <c r="HB405" s="242"/>
      <c r="HC405" s="242"/>
      <c r="HD405" s="242"/>
      <c r="HE405" s="242"/>
      <c r="HF405" s="242"/>
      <c r="HG405" s="242"/>
      <c r="HH405" s="242"/>
    </row>
    <row r="406" spans="205:216" x14ac:dyDescent="0.2">
      <c r="GW406" s="242"/>
      <c r="GX406" s="242"/>
      <c r="GY406" s="242"/>
      <c r="GZ406" s="242"/>
      <c r="HA406" s="242"/>
      <c r="HB406" s="242"/>
      <c r="HC406" s="242"/>
      <c r="HD406" s="242"/>
      <c r="HE406" s="242"/>
      <c r="HF406" s="242"/>
      <c r="HG406" s="242"/>
      <c r="HH406" s="242"/>
    </row>
    <row r="407" spans="205:216" x14ac:dyDescent="0.2">
      <c r="GW407" s="242"/>
      <c r="GX407" s="242"/>
      <c r="GY407" s="242"/>
      <c r="GZ407" s="242"/>
      <c r="HA407" s="242"/>
      <c r="HB407" s="242"/>
      <c r="HC407" s="242"/>
      <c r="HD407" s="242"/>
      <c r="HE407" s="242"/>
      <c r="HF407" s="242"/>
      <c r="HG407" s="242"/>
      <c r="HH407" s="242"/>
    </row>
    <row r="408" spans="205:216" x14ac:dyDescent="0.2">
      <c r="GW408" s="242"/>
      <c r="GX408" s="242"/>
      <c r="GY408" s="242"/>
      <c r="GZ408" s="242"/>
      <c r="HA408" s="242"/>
      <c r="HB408" s="242"/>
      <c r="HC408" s="242"/>
      <c r="HD408" s="242"/>
      <c r="HE408" s="242"/>
      <c r="HF408" s="242"/>
      <c r="HG408" s="242"/>
      <c r="HH408" s="242"/>
    </row>
    <row r="409" spans="205:216" x14ac:dyDescent="0.2">
      <c r="GW409" s="242"/>
      <c r="GX409" s="242"/>
      <c r="GY409" s="242"/>
      <c r="GZ409" s="242"/>
      <c r="HA409" s="242"/>
      <c r="HB409" s="242"/>
      <c r="HC409" s="242"/>
      <c r="HD409" s="242"/>
      <c r="HE409" s="242"/>
      <c r="HF409" s="242"/>
      <c r="HG409" s="242"/>
      <c r="HH409" s="242"/>
    </row>
    <row r="410" spans="205:216" x14ac:dyDescent="0.2">
      <c r="GW410" s="242"/>
      <c r="GX410" s="242"/>
      <c r="GY410" s="242"/>
      <c r="GZ410" s="242"/>
      <c r="HA410" s="242"/>
      <c r="HB410" s="242"/>
      <c r="HC410" s="242"/>
      <c r="HD410" s="242"/>
      <c r="HE410" s="242"/>
      <c r="HF410" s="242"/>
      <c r="HG410" s="242"/>
      <c r="HH410" s="242"/>
    </row>
    <row r="411" spans="205:216" x14ac:dyDescent="0.2">
      <c r="GW411" s="242"/>
      <c r="GX411" s="242"/>
      <c r="GY411" s="242"/>
      <c r="GZ411" s="242"/>
      <c r="HA411" s="242"/>
      <c r="HB411" s="242"/>
      <c r="HC411" s="242"/>
      <c r="HD411" s="242"/>
      <c r="HE411" s="242"/>
      <c r="HF411" s="242"/>
      <c r="HG411" s="242"/>
      <c r="HH411" s="242"/>
    </row>
    <row r="412" spans="205:216" x14ac:dyDescent="0.2">
      <c r="GW412" s="242"/>
      <c r="GX412" s="242"/>
      <c r="GY412" s="242"/>
      <c r="GZ412" s="242"/>
      <c r="HA412" s="242"/>
      <c r="HB412" s="242"/>
      <c r="HC412" s="242"/>
      <c r="HD412" s="242"/>
      <c r="HE412" s="242"/>
      <c r="HF412" s="242"/>
      <c r="HG412" s="242"/>
      <c r="HH412" s="242"/>
    </row>
    <row r="413" spans="205:216" x14ac:dyDescent="0.2">
      <c r="GW413" s="242"/>
      <c r="GX413" s="242"/>
      <c r="GY413" s="242"/>
      <c r="GZ413" s="242"/>
      <c r="HA413" s="242"/>
      <c r="HB413" s="242"/>
      <c r="HC413" s="242"/>
      <c r="HD413" s="242"/>
      <c r="HE413" s="242"/>
      <c r="HF413" s="242"/>
      <c r="HG413" s="242"/>
      <c r="HH413" s="242"/>
    </row>
    <row r="414" spans="205:216" x14ac:dyDescent="0.2">
      <c r="GW414" s="242"/>
      <c r="GX414" s="242"/>
      <c r="GY414" s="242"/>
      <c r="GZ414" s="242"/>
      <c r="HA414" s="242"/>
      <c r="HB414" s="242"/>
      <c r="HC414" s="242"/>
      <c r="HD414" s="242"/>
      <c r="HE414" s="242"/>
      <c r="HF414" s="242"/>
      <c r="HG414" s="242"/>
      <c r="HH414" s="242"/>
    </row>
    <row r="415" spans="205:216" x14ac:dyDescent="0.2">
      <c r="GW415" s="242"/>
      <c r="GX415" s="242"/>
      <c r="GY415" s="242"/>
      <c r="GZ415" s="242"/>
      <c r="HA415" s="242"/>
      <c r="HB415" s="242"/>
      <c r="HC415" s="242"/>
      <c r="HD415" s="242"/>
      <c r="HE415" s="242"/>
      <c r="HF415" s="242"/>
      <c r="HG415" s="242"/>
      <c r="HH415" s="242"/>
    </row>
    <row r="416" spans="205:216" x14ac:dyDescent="0.2">
      <c r="GW416" s="242"/>
      <c r="GX416" s="242"/>
      <c r="GY416" s="242"/>
      <c r="GZ416" s="242"/>
      <c r="HA416" s="242"/>
      <c r="HB416" s="242"/>
      <c r="HC416" s="242"/>
      <c r="HD416" s="242"/>
      <c r="HE416" s="242"/>
      <c r="HF416" s="242"/>
      <c r="HG416" s="242"/>
      <c r="HH416" s="242"/>
    </row>
    <row r="417" spans="205:216" x14ac:dyDescent="0.2">
      <c r="GW417" s="242"/>
      <c r="GX417" s="242"/>
      <c r="GY417" s="242"/>
      <c r="GZ417" s="242"/>
      <c r="HA417" s="242"/>
      <c r="HB417" s="242"/>
      <c r="HC417" s="242"/>
      <c r="HD417" s="242"/>
      <c r="HE417" s="242"/>
      <c r="HF417" s="242"/>
      <c r="HG417" s="242"/>
      <c r="HH417" s="242"/>
    </row>
    <row r="418" spans="205:216" x14ac:dyDescent="0.2">
      <c r="GW418" s="242"/>
      <c r="GX418" s="242"/>
      <c r="GY418" s="242"/>
      <c r="GZ418" s="242"/>
      <c r="HA418" s="242"/>
      <c r="HB418" s="242"/>
      <c r="HC418" s="242"/>
      <c r="HD418" s="242"/>
      <c r="HE418" s="242"/>
      <c r="HF418" s="242"/>
      <c r="HG418" s="242"/>
      <c r="HH418" s="242"/>
    </row>
    <row r="419" spans="205:216" x14ac:dyDescent="0.2">
      <c r="GW419" s="242"/>
      <c r="GX419" s="242"/>
      <c r="GY419" s="242"/>
      <c r="GZ419" s="242"/>
      <c r="HA419" s="242"/>
      <c r="HB419" s="242"/>
      <c r="HC419" s="242"/>
      <c r="HD419" s="242"/>
      <c r="HE419" s="242"/>
      <c r="HF419" s="242"/>
      <c r="HG419" s="242"/>
      <c r="HH419" s="242"/>
    </row>
    <row r="420" spans="205:216" x14ac:dyDescent="0.2">
      <c r="GW420" s="242"/>
      <c r="GX420" s="242"/>
      <c r="GY420" s="242"/>
      <c r="GZ420" s="242"/>
      <c r="HA420" s="242"/>
      <c r="HB420" s="242"/>
      <c r="HC420" s="242"/>
      <c r="HD420" s="242"/>
      <c r="HE420" s="242"/>
      <c r="HF420" s="242"/>
      <c r="HG420" s="242"/>
      <c r="HH420" s="242"/>
    </row>
    <row r="421" spans="205:216" x14ac:dyDescent="0.2">
      <c r="GW421" s="242"/>
      <c r="GX421" s="242"/>
      <c r="GY421" s="242"/>
      <c r="GZ421" s="242"/>
      <c r="HA421" s="242"/>
      <c r="HB421" s="242"/>
      <c r="HC421" s="242"/>
      <c r="HD421" s="242"/>
      <c r="HE421" s="242"/>
      <c r="HF421" s="242"/>
      <c r="HG421" s="242"/>
      <c r="HH421" s="242"/>
    </row>
    <row r="422" spans="205:216" x14ac:dyDescent="0.2">
      <c r="GW422" s="242"/>
      <c r="GX422" s="242"/>
      <c r="GY422" s="242"/>
      <c r="GZ422" s="242"/>
      <c r="HA422" s="242"/>
      <c r="HB422" s="242"/>
      <c r="HC422" s="242"/>
      <c r="HD422" s="242"/>
      <c r="HE422" s="242"/>
      <c r="HF422" s="242"/>
      <c r="HG422" s="242"/>
      <c r="HH422" s="242"/>
    </row>
    <row r="423" spans="205:216" x14ac:dyDescent="0.2">
      <c r="GW423" s="242"/>
      <c r="GX423" s="242"/>
      <c r="GY423" s="242"/>
      <c r="GZ423" s="242"/>
      <c r="HA423" s="242"/>
      <c r="HB423" s="242"/>
      <c r="HC423" s="242"/>
      <c r="HD423" s="242"/>
      <c r="HE423" s="242"/>
      <c r="HF423" s="242"/>
      <c r="HG423" s="242"/>
      <c r="HH423" s="242"/>
    </row>
    <row r="424" spans="205:216" x14ac:dyDescent="0.2">
      <c r="GW424" s="242"/>
      <c r="GX424" s="242"/>
      <c r="GY424" s="242"/>
      <c r="GZ424" s="242"/>
      <c r="HA424" s="242"/>
      <c r="HB424" s="242"/>
      <c r="HC424" s="242"/>
      <c r="HD424" s="242"/>
      <c r="HE424" s="242"/>
      <c r="HF424" s="242"/>
      <c r="HG424" s="242"/>
      <c r="HH424" s="242"/>
    </row>
    <row r="425" spans="205:216" x14ac:dyDescent="0.2">
      <c r="GW425" s="242"/>
      <c r="GX425" s="242"/>
      <c r="GY425" s="242"/>
      <c r="GZ425" s="242"/>
      <c r="HA425" s="242"/>
      <c r="HB425" s="242"/>
      <c r="HC425" s="242"/>
      <c r="HD425" s="242"/>
      <c r="HE425" s="242"/>
      <c r="HF425" s="242"/>
      <c r="HG425" s="242"/>
      <c r="HH425" s="242"/>
    </row>
    <row r="426" spans="205:216" x14ac:dyDescent="0.2">
      <c r="GW426" s="242"/>
      <c r="GX426" s="242"/>
      <c r="GY426" s="242"/>
      <c r="GZ426" s="242"/>
      <c r="HA426" s="242"/>
      <c r="HB426" s="242"/>
      <c r="HC426" s="242"/>
      <c r="HD426" s="242"/>
      <c r="HE426" s="242"/>
      <c r="HF426" s="242"/>
      <c r="HG426" s="242"/>
      <c r="HH426" s="242"/>
    </row>
    <row r="427" spans="205:216" x14ac:dyDescent="0.2">
      <c r="GW427" s="242"/>
      <c r="GX427" s="242"/>
      <c r="GY427" s="242"/>
      <c r="GZ427" s="242"/>
      <c r="HA427" s="242"/>
      <c r="HB427" s="242"/>
      <c r="HC427" s="242"/>
      <c r="HD427" s="242"/>
      <c r="HE427" s="242"/>
      <c r="HF427" s="242"/>
      <c r="HG427" s="242"/>
      <c r="HH427" s="242"/>
    </row>
    <row r="428" spans="205:216" x14ac:dyDescent="0.2">
      <c r="GW428" s="242"/>
      <c r="GX428" s="242"/>
      <c r="GY428" s="242"/>
      <c r="GZ428" s="242"/>
      <c r="HA428" s="242"/>
      <c r="HB428" s="242"/>
      <c r="HC428" s="242"/>
      <c r="HD428" s="242"/>
      <c r="HE428" s="242"/>
      <c r="HF428" s="242"/>
      <c r="HG428" s="242"/>
      <c r="HH428" s="242"/>
    </row>
    <row r="429" spans="205:216" x14ac:dyDescent="0.2">
      <c r="GW429" s="242"/>
      <c r="GX429" s="242"/>
      <c r="GY429" s="242"/>
      <c r="GZ429" s="242"/>
      <c r="HA429" s="242"/>
      <c r="HB429" s="242"/>
      <c r="HC429" s="242"/>
      <c r="HD429" s="242"/>
      <c r="HE429" s="242"/>
      <c r="HF429" s="242"/>
      <c r="HG429" s="242"/>
      <c r="HH429" s="242"/>
    </row>
    <row r="430" spans="205:216" x14ac:dyDescent="0.2">
      <c r="GW430" s="242"/>
      <c r="GX430" s="242"/>
      <c r="GY430" s="242"/>
      <c r="GZ430" s="242"/>
      <c r="HA430" s="242"/>
      <c r="HB430" s="242"/>
      <c r="HC430" s="242"/>
      <c r="HD430" s="242"/>
      <c r="HE430" s="242"/>
      <c r="HF430" s="242"/>
      <c r="HG430" s="242"/>
      <c r="HH430" s="242"/>
    </row>
    <row r="431" spans="205:216" x14ac:dyDescent="0.2">
      <c r="GW431" s="242"/>
      <c r="GX431" s="242"/>
      <c r="GY431" s="242"/>
      <c r="GZ431" s="242"/>
      <c r="HA431" s="242"/>
      <c r="HB431" s="242"/>
      <c r="HC431" s="242"/>
      <c r="HD431" s="242"/>
      <c r="HE431" s="242"/>
      <c r="HF431" s="242"/>
      <c r="HG431" s="242"/>
      <c r="HH431" s="242"/>
    </row>
    <row r="432" spans="205:216" x14ac:dyDescent="0.2">
      <c r="GW432" s="242"/>
      <c r="GX432" s="242"/>
      <c r="GY432" s="242"/>
      <c r="GZ432" s="242"/>
      <c r="HA432" s="242"/>
      <c r="HB432" s="242"/>
      <c r="HC432" s="242"/>
      <c r="HD432" s="242"/>
      <c r="HE432" s="242"/>
      <c r="HF432" s="242"/>
      <c r="HG432" s="242"/>
      <c r="HH432" s="242"/>
    </row>
    <row r="433" spans="205:216" x14ac:dyDescent="0.2">
      <c r="GW433" s="242"/>
      <c r="GX433" s="242"/>
      <c r="GY433" s="242"/>
      <c r="GZ433" s="242"/>
      <c r="HA433" s="242"/>
      <c r="HB433" s="242"/>
      <c r="HC433" s="242"/>
      <c r="HD433" s="242"/>
      <c r="HE433" s="242"/>
      <c r="HF433" s="242"/>
      <c r="HG433" s="242"/>
      <c r="HH433" s="242"/>
    </row>
    <row r="434" spans="205:216" x14ac:dyDescent="0.2">
      <c r="GW434" s="242"/>
      <c r="GX434" s="242"/>
      <c r="GY434" s="242"/>
      <c r="GZ434" s="242"/>
      <c r="HA434" s="242"/>
      <c r="HB434" s="242"/>
      <c r="HC434" s="242"/>
      <c r="HD434" s="242"/>
      <c r="HE434" s="242"/>
      <c r="HF434" s="242"/>
      <c r="HG434" s="242"/>
      <c r="HH434" s="242"/>
    </row>
    <row r="435" spans="205:216" x14ac:dyDescent="0.2">
      <c r="GW435" s="242"/>
      <c r="GX435" s="242"/>
      <c r="GY435" s="242"/>
      <c r="GZ435" s="242"/>
      <c r="HA435" s="242"/>
      <c r="HB435" s="242"/>
      <c r="HC435" s="242"/>
      <c r="HD435" s="242"/>
      <c r="HE435" s="242"/>
      <c r="HF435" s="242"/>
      <c r="HG435" s="242"/>
      <c r="HH435" s="242"/>
    </row>
    <row r="436" spans="205:216" x14ac:dyDescent="0.2">
      <c r="GW436" s="242"/>
      <c r="GX436" s="242"/>
      <c r="GY436" s="242"/>
      <c r="GZ436" s="242"/>
      <c r="HA436" s="242"/>
      <c r="HB436" s="242"/>
      <c r="HC436" s="242"/>
      <c r="HD436" s="242"/>
      <c r="HE436" s="242"/>
      <c r="HF436" s="242"/>
      <c r="HG436" s="242"/>
      <c r="HH436" s="242"/>
    </row>
    <row r="437" spans="205:216" x14ac:dyDescent="0.2">
      <c r="GW437" s="242"/>
      <c r="GX437" s="242"/>
      <c r="GY437" s="242"/>
      <c r="GZ437" s="242"/>
      <c r="HA437" s="242"/>
      <c r="HB437" s="242"/>
      <c r="HC437" s="242"/>
      <c r="HD437" s="242"/>
      <c r="HE437" s="242"/>
      <c r="HF437" s="242"/>
      <c r="HG437" s="242"/>
      <c r="HH437" s="242"/>
    </row>
    <row r="438" spans="205:216" x14ac:dyDescent="0.2">
      <c r="GW438" s="242"/>
      <c r="GX438" s="242"/>
      <c r="GY438" s="242"/>
      <c r="GZ438" s="242"/>
      <c r="HA438" s="242"/>
      <c r="HB438" s="242"/>
      <c r="HC438" s="242"/>
      <c r="HD438" s="242"/>
      <c r="HE438" s="242"/>
      <c r="HF438" s="242"/>
      <c r="HG438" s="242"/>
      <c r="HH438" s="242"/>
    </row>
    <row r="439" spans="205:216" x14ac:dyDescent="0.2">
      <c r="GW439" s="242"/>
      <c r="GX439" s="242"/>
      <c r="GY439" s="242"/>
      <c r="GZ439" s="242"/>
      <c r="HA439" s="242"/>
      <c r="HB439" s="242"/>
      <c r="HC439" s="242"/>
      <c r="HD439" s="242"/>
      <c r="HE439" s="242"/>
      <c r="HF439" s="242"/>
      <c r="HG439" s="242"/>
      <c r="HH439" s="242"/>
    </row>
    <row r="440" spans="205:216" x14ac:dyDescent="0.2">
      <c r="GW440" s="242"/>
      <c r="GX440" s="242"/>
      <c r="GY440" s="242"/>
      <c r="GZ440" s="242"/>
      <c r="HA440" s="242"/>
      <c r="HB440" s="242"/>
      <c r="HC440" s="242"/>
      <c r="HD440" s="242"/>
      <c r="HE440" s="242"/>
      <c r="HF440" s="242"/>
      <c r="HG440" s="242"/>
      <c r="HH440" s="242"/>
    </row>
    <row r="441" spans="205:216" x14ac:dyDescent="0.2">
      <c r="GW441" s="242"/>
      <c r="GX441" s="242"/>
      <c r="GY441" s="242"/>
      <c r="GZ441" s="242"/>
      <c r="HA441" s="242"/>
      <c r="HB441" s="242"/>
      <c r="HC441" s="242"/>
      <c r="HD441" s="242"/>
      <c r="HE441" s="242"/>
      <c r="HF441" s="242"/>
      <c r="HG441" s="242"/>
      <c r="HH441" s="242"/>
    </row>
  </sheetData>
  <mergeCells count="3">
    <mergeCell ref="FF10:FF11"/>
    <mergeCell ref="GD10:GD11"/>
    <mergeCell ref="FN10:FN11"/>
  </mergeCells>
  <conditionalFormatting sqref="IZ12:IZ57">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E7563-3E06-4B81-8BA6-3A8997CD6FD3}">
  <sheetPr>
    <tabColor theme="5" tint="-0.249977111117893"/>
  </sheetPr>
  <dimension ref="B1:CW193"/>
  <sheetViews>
    <sheetView showGridLines="0" topLeftCell="CF1" zoomScale="115" zoomScaleNormal="115" workbookViewId="0"/>
    <sheetView workbookViewId="1"/>
  </sheetViews>
  <sheetFormatPr defaultColWidth="9.140625" defaultRowHeight="9" outlineLevelRow="1" outlineLevelCol="1" x14ac:dyDescent="0.15"/>
  <cols>
    <col min="1" max="1" width="9.140625" style="396"/>
    <col min="2" max="2" width="6" style="396" customWidth="1" outlineLevel="1"/>
    <col min="3" max="3" width="5.28515625" style="396" customWidth="1" outlineLevel="1"/>
    <col min="4" max="4" width="3.5703125" style="396" customWidth="1"/>
    <col min="5" max="5" width="24" style="396" customWidth="1"/>
    <col min="6" max="7" width="5.140625" style="402" customWidth="1"/>
    <col min="8" max="10" width="6" style="402" customWidth="1" outlineLevel="1"/>
    <col min="11" max="19" width="6" style="402" customWidth="1"/>
    <col min="20" max="20" width="3" style="396" customWidth="1"/>
    <col min="21" max="21" width="34.42578125" style="396" customWidth="1" outlineLevel="1"/>
    <col min="22" max="22" width="4.7109375" style="396" customWidth="1" outlineLevel="1"/>
    <col min="23" max="25" width="9.28515625" style="396" customWidth="1" outlineLevel="1"/>
    <col min="26" max="26" width="9.28515625" style="796" customWidth="1" outlineLevel="1"/>
    <col min="27" max="27" width="45.42578125" style="396" customWidth="1" outlineLevel="1"/>
    <col min="28" max="28" width="4.7109375" style="396" customWidth="1" outlineLevel="1"/>
    <col min="29" max="31" width="9.28515625" style="396" customWidth="1" outlineLevel="1"/>
    <col min="32" max="32" width="3" style="396" customWidth="1"/>
    <col min="33" max="33" width="5" style="396" customWidth="1"/>
    <col min="34" max="34" width="21.28515625" style="396" customWidth="1"/>
    <col min="35" max="35" width="8.85546875" style="396" customWidth="1"/>
    <col min="36" max="36" width="12.140625" style="396" customWidth="1"/>
    <col min="37" max="39" width="6.5703125" style="396" customWidth="1"/>
    <col min="40" max="41" width="8.140625" style="396" customWidth="1"/>
    <col min="42" max="46" width="6.5703125" style="396" customWidth="1"/>
    <col min="47" max="47" width="3.42578125" style="398" customWidth="1"/>
    <col min="48" max="48" width="3" style="396" customWidth="1"/>
    <col min="49" max="49" width="24.5703125" style="396" customWidth="1" outlineLevel="1"/>
    <col min="50" max="50" width="5.140625" style="396" customWidth="1" outlineLevel="1"/>
    <col min="51" max="60" width="6.42578125" style="396" customWidth="1" outlineLevel="1"/>
    <col min="61" max="61" width="3.5703125" style="396" customWidth="1" outlineLevel="1"/>
    <col min="62" max="62" width="3" style="396" customWidth="1"/>
    <col min="63" max="63" width="24.85546875" style="396" customWidth="1"/>
    <col min="64" max="64" width="3" style="396" customWidth="1"/>
    <col min="65" max="74" width="6.42578125" style="396" customWidth="1"/>
    <col min="75" max="76" width="3" style="396" customWidth="1"/>
    <col min="77" max="77" width="38.42578125" style="396" customWidth="1" outlineLevel="1"/>
    <col min="78" max="80" width="9.28515625" style="396" customWidth="1" outlineLevel="1"/>
    <col min="81" max="82" width="3" style="396" customWidth="1"/>
    <col min="83" max="83" width="3" style="396" customWidth="1" outlineLevel="1"/>
    <col min="84" max="84" width="46.7109375" style="396" customWidth="1" outlineLevel="1"/>
    <col min="85" max="87" width="9.28515625" style="396" customWidth="1" outlineLevel="1"/>
    <col min="88" max="88" width="3" style="396" customWidth="1" outlineLevel="1"/>
    <col min="89" max="89" width="3" style="396" customWidth="1"/>
    <col min="90" max="90" width="38" style="396" customWidth="1"/>
    <col min="91" max="93" width="9.28515625" style="398" customWidth="1"/>
    <col min="94" max="94" width="1.5703125" style="398" customWidth="1"/>
    <col min="95" max="95" width="7.28515625" style="396" customWidth="1" outlineLevel="1"/>
    <col min="96" max="96" width="48.42578125" style="396" customWidth="1" outlineLevel="1"/>
    <col min="97" max="99" width="9.28515625" style="398" customWidth="1"/>
    <col min="100" max="100" width="9.140625" style="396" customWidth="1" outlineLevel="1"/>
    <col min="101" max="101" width="3.140625" style="210" customWidth="1"/>
    <col min="102" max="16384" width="9.140625" style="396"/>
  </cols>
  <sheetData>
    <row r="1" spans="2:101" x14ac:dyDescent="0.15">
      <c r="E1" s="1760"/>
      <c r="F1" s="1761"/>
      <c r="G1" s="1761"/>
      <c r="H1" s="1761"/>
      <c r="I1" s="1761"/>
      <c r="J1" s="1761"/>
      <c r="K1" s="1761"/>
      <c r="L1" s="1761"/>
      <c r="M1" s="1761"/>
      <c r="N1" s="1761"/>
      <c r="O1" s="1761"/>
      <c r="P1" s="1761"/>
      <c r="Q1" s="1761"/>
      <c r="R1" s="1761"/>
      <c r="S1" s="1761"/>
      <c r="U1" s="1760"/>
      <c r="V1" s="1760"/>
      <c r="W1" s="1760"/>
      <c r="X1" s="1760"/>
      <c r="Y1" s="1760"/>
      <c r="AA1" s="1760"/>
      <c r="AB1" s="1760"/>
      <c r="AC1" s="1760"/>
      <c r="AD1" s="1760"/>
      <c r="AE1" s="1760"/>
      <c r="AH1" s="1760"/>
      <c r="AI1" s="1760"/>
      <c r="AJ1" s="1760"/>
      <c r="AK1" s="1760"/>
      <c r="AL1" s="1760"/>
      <c r="AM1" s="1760"/>
      <c r="AN1" s="1760"/>
      <c r="AO1" s="1760"/>
      <c r="AP1" s="1760"/>
      <c r="AQ1" s="1760"/>
      <c r="AR1" s="1760"/>
      <c r="AS1" s="1760"/>
      <c r="AT1" s="1760"/>
      <c r="AW1" s="1760"/>
      <c r="AX1" s="1760"/>
      <c r="AY1" s="1760"/>
      <c r="AZ1" s="1760"/>
      <c r="BA1" s="1760"/>
      <c r="BB1" s="1760"/>
      <c r="BC1" s="1760"/>
      <c r="BD1" s="1760"/>
      <c r="BE1" s="1760"/>
      <c r="BF1" s="1760"/>
      <c r="BG1" s="1760"/>
      <c r="BH1" s="1760"/>
      <c r="BK1" s="1760"/>
      <c r="BL1" s="1760"/>
      <c r="BM1" s="1760"/>
      <c r="BN1" s="1760"/>
      <c r="BO1" s="1760"/>
      <c r="BP1" s="1760"/>
      <c r="BQ1" s="1760"/>
      <c r="BR1" s="1760"/>
      <c r="BS1" s="1760"/>
      <c r="BT1" s="1760"/>
      <c r="BU1" s="1760"/>
      <c r="BV1" s="1760"/>
      <c r="BY1" s="1760"/>
      <c r="BZ1" s="1760"/>
      <c r="CA1" s="1760"/>
      <c r="CB1" s="1760"/>
      <c r="CF1" s="1760"/>
      <c r="CG1" s="1760"/>
      <c r="CH1" s="1760"/>
      <c r="CI1" s="1760"/>
      <c r="CL1" s="1760"/>
      <c r="CM1" s="1760"/>
      <c r="CN1" s="1760"/>
      <c r="CO1" s="1760"/>
      <c r="CR1" s="1760"/>
      <c r="CS1" s="1760"/>
      <c r="CT1" s="1760"/>
      <c r="CU1" s="1760"/>
      <c r="CW1" s="396"/>
    </row>
    <row r="2" spans="2:101" x14ac:dyDescent="0.15">
      <c r="E2" s="408" t="s">
        <v>442</v>
      </c>
      <c r="F2" s="430"/>
      <c r="G2" s="430"/>
      <c r="H2" s="1296">
        <v>2403</v>
      </c>
      <c r="I2" s="1296">
        <f>H2+3</f>
        <v>2406</v>
      </c>
      <c r="J2" s="1296">
        <f t="shared" ref="J2" si="0">I2+3</f>
        <v>2409</v>
      </c>
      <c r="K2" s="1296">
        <f t="shared" ref="K2" si="1">J2+3</f>
        <v>2412</v>
      </c>
      <c r="L2" s="1296">
        <v>2503</v>
      </c>
      <c r="M2" s="1296">
        <f t="shared" ref="M2" si="2">L2+3</f>
        <v>2506</v>
      </c>
      <c r="N2" s="1296">
        <f t="shared" ref="N2" si="3">M2+3</f>
        <v>2509</v>
      </c>
      <c r="O2" s="1296">
        <f t="shared" ref="O2" si="4">N2+3</f>
        <v>2512</v>
      </c>
      <c r="P2" s="1296">
        <v>2603</v>
      </c>
      <c r="Q2" s="1296">
        <f t="shared" ref="Q2:S2" si="5">P2+3</f>
        <v>2606</v>
      </c>
      <c r="R2" s="1296">
        <f t="shared" si="5"/>
        <v>2609</v>
      </c>
      <c r="S2" s="1296">
        <f t="shared" si="5"/>
        <v>2612</v>
      </c>
      <c r="CM2" s="396"/>
      <c r="CN2" s="396"/>
      <c r="CO2" s="396"/>
      <c r="CS2" s="396"/>
      <c r="CT2" s="396"/>
      <c r="CU2" s="396"/>
      <c r="CW2" s="396"/>
    </row>
    <row r="5" spans="2:101" ht="15" x14ac:dyDescent="0.25">
      <c r="E5" s="794" t="str">
        <f>'Koncern RR '!D7</f>
        <v>[A1] IFRS Input from "Delarsapport 2025"</v>
      </c>
      <c r="F5" s="795"/>
      <c r="G5" s="795"/>
      <c r="H5" s="795"/>
      <c r="I5" s="795"/>
      <c r="J5" s="795"/>
      <c r="K5" s="795"/>
      <c r="L5" s="795"/>
      <c r="M5" s="795"/>
      <c r="N5" s="795"/>
      <c r="O5" s="795"/>
      <c r="P5" s="795"/>
      <c r="Q5" s="795"/>
      <c r="R5" s="795"/>
      <c r="S5" s="795"/>
      <c r="U5" s="794" t="s">
        <v>184</v>
      </c>
      <c r="V5" s="794"/>
      <c r="W5" s="794"/>
      <c r="X5" s="794"/>
      <c r="Y5" s="794"/>
      <c r="Z5" s="1212"/>
      <c r="AA5" s="794" t="s">
        <v>185</v>
      </c>
      <c r="AB5" s="794"/>
      <c r="AC5" s="794"/>
      <c r="AD5" s="794"/>
      <c r="AE5" s="794"/>
      <c r="AH5" s="794" t="s">
        <v>829</v>
      </c>
      <c r="AI5" s="795"/>
      <c r="AJ5" s="795"/>
      <c r="AK5" s="795"/>
      <c r="AL5" s="795"/>
      <c r="AM5" s="795"/>
      <c r="AN5" s="795"/>
      <c r="AO5" s="795"/>
      <c r="AP5" s="795"/>
      <c r="AQ5" s="795"/>
      <c r="AR5" s="795"/>
      <c r="AS5" s="795"/>
      <c r="AT5" s="795"/>
      <c r="AW5" s="794" t="s">
        <v>830</v>
      </c>
      <c r="AX5" s="795"/>
      <c r="AY5" s="795"/>
      <c r="AZ5" s="795"/>
      <c r="BA5" s="795"/>
      <c r="BB5" s="795"/>
      <c r="BC5" s="795"/>
      <c r="BD5" s="795"/>
      <c r="BE5" s="795"/>
      <c r="BF5" s="795"/>
      <c r="BG5" s="795"/>
      <c r="BH5" s="795"/>
      <c r="BK5" s="794" t="s">
        <v>832</v>
      </c>
      <c r="BL5" s="794"/>
      <c r="BM5" s="794"/>
      <c r="BN5" s="794"/>
      <c r="BO5" s="794"/>
      <c r="BP5" s="794"/>
      <c r="BQ5" s="794"/>
      <c r="BR5" s="794"/>
      <c r="BS5" s="794"/>
      <c r="BT5" s="794"/>
      <c r="BU5" s="794"/>
      <c r="BV5" s="794"/>
      <c r="BY5" s="794" t="s">
        <v>443</v>
      </c>
      <c r="BZ5" s="794"/>
      <c r="CA5" s="794"/>
      <c r="CB5" s="794"/>
      <c r="CF5" s="794" t="s">
        <v>444</v>
      </c>
      <c r="CG5" s="794"/>
      <c r="CH5" s="794"/>
      <c r="CI5" s="794"/>
      <c r="CL5" s="794" t="s">
        <v>445</v>
      </c>
      <c r="CM5" s="423"/>
      <c r="CN5" s="423"/>
      <c r="CO5" s="423"/>
      <c r="CR5" s="794" t="s">
        <v>446</v>
      </c>
      <c r="CS5" s="423"/>
      <c r="CT5" s="423"/>
      <c r="CU5" s="423"/>
      <c r="CW5" s="396"/>
    </row>
    <row r="6" spans="2:101" ht="5.25" customHeight="1" x14ac:dyDescent="0.15">
      <c r="CW6" s="396"/>
    </row>
    <row r="7" spans="2:101" ht="4.5" customHeight="1" x14ac:dyDescent="0.15">
      <c r="CQ7" s="796"/>
      <c r="CR7" s="796"/>
      <c r="CW7" s="396"/>
    </row>
    <row r="8" spans="2:101" ht="9" customHeight="1" x14ac:dyDescent="0.15">
      <c r="B8" s="403" t="s">
        <v>181</v>
      </c>
      <c r="C8" s="403" t="s">
        <v>194</v>
      </c>
      <c r="E8" s="797" t="s">
        <v>103</v>
      </c>
      <c r="F8" s="798"/>
      <c r="G8" s="798"/>
      <c r="H8" s="798"/>
      <c r="I8" s="798"/>
      <c r="J8" s="798"/>
      <c r="K8" s="798"/>
      <c r="L8" s="798"/>
      <c r="M8" s="798"/>
      <c r="N8" s="798"/>
      <c r="O8" s="798"/>
      <c r="P8" s="798"/>
      <c r="Q8" s="798"/>
      <c r="R8" s="798"/>
      <c r="S8" s="798"/>
      <c r="T8" s="799"/>
      <c r="U8" s="797" t="str">
        <f>E8</f>
        <v>Koncernens finansiella ställning i sammandrag (IFRS)</v>
      </c>
      <c r="V8" s="799"/>
      <c r="AA8" s="797"/>
      <c r="AB8" s="799"/>
      <c r="AH8" s="797" t="s">
        <v>447</v>
      </c>
      <c r="BY8" s="401"/>
      <c r="CF8" s="401"/>
      <c r="CL8" s="401" t="str">
        <f>AH8</f>
        <v>Koncernens rättvisande alternativa finansiella ställning</v>
      </c>
      <c r="CQ8" s="800"/>
      <c r="CR8" s="401"/>
      <c r="CW8" s="396"/>
    </row>
    <row r="9" spans="2:101" ht="20.25" customHeight="1" x14ac:dyDescent="0.15">
      <c r="B9" s="1803"/>
      <c r="C9" s="426">
        <v>1</v>
      </c>
      <c r="E9" s="399"/>
      <c r="F9" s="400"/>
      <c r="G9" s="400"/>
      <c r="H9" s="422" t="s">
        <v>448</v>
      </c>
      <c r="I9" s="422" t="s">
        <v>449</v>
      </c>
      <c r="J9" s="422" t="s">
        <v>450</v>
      </c>
      <c r="K9" s="422" t="s">
        <v>451</v>
      </c>
      <c r="L9" s="422" t="s">
        <v>448</v>
      </c>
      <c r="M9" s="422" t="s">
        <v>449</v>
      </c>
      <c r="N9" s="422" t="s">
        <v>450</v>
      </c>
      <c r="O9" s="422" t="s">
        <v>451</v>
      </c>
      <c r="P9" s="422" t="s">
        <v>448</v>
      </c>
      <c r="Q9" s="422" t="s">
        <v>449</v>
      </c>
      <c r="R9" s="422" t="s">
        <v>450</v>
      </c>
      <c r="S9" s="422" t="s">
        <v>451</v>
      </c>
      <c r="T9" s="799"/>
      <c r="U9" s="260"/>
      <c r="V9" s="933"/>
      <c r="W9" s="1249" t="s">
        <v>198</v>
      </c>
      <c r="X9" s="1249" t="s">
        <v>198</v>
      </c>
      <c r="Y9" s="1249" t="s">
        <v>22</v>
      </c>
      <c r="Z9" s="1213"/>
      <c r="AA9" s="260"/>
      <c r="AB9" s="933"/>
      <c r="AC9" s="1249" t="s">
        <v>200</v>
      </c>
      <c r="AD9" s="1249" t="s">
        <v>200</v>
      </c>
      <c r="AE9" s="1249" t="s">
        <v>524</v>
      </c>
      <c r="AH9" s="399" t="s">
        <v>221</v>
      </c>
      <c r="AI9" s="400"/>
      <c r="AJ9" s="400"/>
      <c r="AK9" s="400" t="str">
        <f t="shared" ref="AK9:AT10" si="6">H9</f>
        <v>31 mar</v>
      </c>
      <c r="AL9" s="400" t="str">
        <f t="shared" si="6"/>
        <v>30 jun</v>
      </c>
      <c r="AM9" s="400" t="str">
        <f t="shared" si="6"/>
        <v>30 sep</v>
      </c>
      <c r="AN9" s="400" t="str">
        <f t="shared" si="6"/>
        <v>31 dec</v>
      </c>
      <c r="AO9" s="400" t="str">
        <f t="shared" si="6"/>
        <v>31 mar</v>
      </c>
      <c r="AP9" s="400" t="str">
        <f t="shared" si="6"/>
        <v>30 jun</v>
      </c>
      <c r="AQ9" s="400" t="str">
        <f t="shared" si="6"/>
        <v>30 sep</v>
      </c>
      <c r="AR9" s="400" t="str">
        <f t="shared" si="6"/>
        <v>31 dec</v>
      </c>
      <c r="AS9" s="400" t="str">
        <f t="shared" si="6"/>
        <v>31 mar</v>
      </c>
      <c r="AT9" s="400" t="str">
        <f t="shared" si="6"/>
        <v>30 jun</v>
      </c>
      <c r="AW9" s="400"/>
      <c r="AX9" s="400"/>
      <c r="AY9" s="400" t="str">
        <f t="shared" ref="AY9:BH10" si="7">AK9</f>
        <v>31 mar</v>
      </c>
      <c r="AZ9" s="400" t="str">
        <f t="shared" si="7"/>
        <v>30 jun</v>
      </c>
      <c r="BA9" s="400" t="str">
        <f t="shared" si="7"/>
        <v>30 sep</v>
      </c>
      <c r="BB9" s="400" t="str">
        <f t="shared" si="7"/>
        <v>31 dec</v>
      </c>
      <c r="BC9" s="400" t="str">
        <f t="shared" si="7"/>
        <v>31 mar</v>
      </c>
      <c r="BD9" s="400" t="str">
        <f t="shared" si="7"/>
        <v>30 jun</v>
      </c>
      <c r="BE9" s="400" t="str">
        <f t="shared" si="7"/>
        <v>30 sep</v>
      </c>
      <c r="BF9" s="400" t="str">
        <f t="shared" si="7"/>
        <v>31 dec</v>
      </c>
      <c r="BG9" s="400" t="str">
        <f t="shared" si="7"/>
        <v>31 mar</v>
      </c>
      <c r="BH9" s="400" t="str">
        <f t="shared" si="7"/>
        <v>30 jun</v>
      </c>
      <c r="BK9" s="400"/>
      <c r="BL9" s="400"/>
      <c r="BM9" s="400" t="str">
        <f>AY9</f>
        <v>31 mar</v>
      </c>
      <c r="BN9" s="400" t="str">
        <f t="shared" ref="BN9" si="8">AZ9</f>
        <v>30 jun</v>
      </c>
      <c r="BO9" s="400" t="str">
        <f t="shared" ref="BO9" si="9">BA9</f>
        <v>30 sep</v>
      </c>
      <c r="BP9" s="400" t="str">
        <f t="shared" ref="BP9" si="10">BB9</f>
        <v>31 dec</v>
      </c>
      <c r="BQ9" s="400" t="str">
        <f t="shared" ref="BQ9" si="11">BC9</f>
        <v>31 mar</v>
      </c>
      <c r="BR9" s="400" t="str">
        <f t="shared" ref="BR9" si="12">BD9</f>
        <v>30 jun</v>
      </c>
      <c r="BS9" s="400" t="str">
        <f t="shared" ref="BS9" si="13">BE9</f>
        <v>30 sep</v>
      </c>
      <c r="BT9" s="400" t="str">
        <f t="shared" ref="BT9" si="14">BF9</f>
        <v>31 dec</v>
      </c>
      <c r="BU9" s="400" t="str">
        <f t="shared" ref="BU9" si="15">BG9</f>
        <v>31 mar</v>
      </c>
      <c r="BV9" s="400" t="str">
        <f t="shared" ref="BV9" si="16">BH9</f>
        <v>30 jun</v>
      </c>
      <c r="BY9" s="260"/>
      <c r="BZ9" s="1249" t="str">
        <f>AP9</f>
        <v>30 jun</v>
      </c>
      <c r="CA9" s="1249" t="str">
        <f>BD9</f>
        <v>30 jun</v>
      </c>
      <c r="CB9" s="1249" t="str">
        <f>BF9</f>
        <v>31 dec</v>
      </c>
      <c r="CF9" s="260"/>
      <c r="CG9" s="1249" t="str">
        <f t="shared" ref="CG9:CI10" si="17">BZ9</f>
        <v>30 jun</v>
      </c>
      <c r="CH9" s="1249" t="str">
        <f t="shared" si="17"/>
        <v>30 jun</v>
      </c>
      <c r="CI9" s="1249" t="str">
        <f t="shared" si="17"/>
        <v>31 dec</v>
      </c>
      <c r="CL9" s="260"/>
      <c r="CM9" s="1249" t="s">
        <v>213</v>
      </c>
      <c r="CN9" s="1249" t="s">
        <v>214</v>
      </c>
      <c r="CO9" s="1249" t="s">
        <v>452</v>
      </c>
      <c r="CQ9" s="796"/>
      <c r="CR9" s="1799" t="s">
        <v>453</v>
      </c>
      <c r="CS9" s="933" t="s">
        <v>26</v>
      </c>
      <c r="CT9" s="1249" t="s">
        <v>454</v>
      </c>
      <c r="CU9" s="1249" t="s">
        <v>217</v>
      </c>
      <c r="CW9" s="396"/>
    </row>
    <row r="10" spans="2:101" ht="9.75" customHeight="1" x14ac:dyDescent="0.15">
      <c r="B10" s="1803"/>
      <c r="C10" s="426">
        <f>C9+1</f>
        <v>2</v>
      </c>
      <c r="E10" s="403" t="str">
        <f>+[2]rapkvart!$B$55</f>
        <v>Mkr</v>
      </c>
      <c r="F10" s="404" t="str">
        <f>+[2]rapkvart!$C$55</f>
        <v>Not</v>
      </c>
      <c r="G10" s="404"/>
      <c r="H10" s="1032">
        <f>[2]rapkvart!S5</f>
        <v>2024</v>
      </c>
      <c r="I10" s="1032">
        <f>[2]rapkvart!T5</f>
        <v>2024</v>
      </c>
      <c r="J10" s="1032">
        <f>[2]rapkvart!U5</f>
        <v>2024</v>
      </c>
      <c r="K10" s="1032">
        <f>[2]rapkvart!V5</f>
        <v>2024</v>
      </c>
      <c r="L10" s="1032">
        <f>[2]rapkvart!O$55</f>
        <v>2025</v>
      </c>
      <c r="M10" s="1032">
        <f>[2]rapkvart!P$55</f>
        <v>2025</v>
      </c>
      <c r="N10" s="1032">
        <f>[2]rapkvart!Q$55</f>
        <v>2025</v>
      </c>
      <c r="O10" s="1032">
        <f>[2]rapkvart!R$55</f>
        <v>2025</v>
      </c>
      <c r="P10" s="1032">
        <f>[2]rapkvart!K$55</f>
        <v>2026</v>
      </c>
      <c r="Q10" s="1032">
        <f>[2]rapkvart!L$55</f>
        <v>2026</v>
      </c>
      <c r="R10" s="1032">
        <f>[2]rapkvart!M$55</f>
        <v>2026</v>
      </c>
      <c r="S10" s="1032">
        <f>[2]rapkvart!N$55</f>
        <v>2026</v>
      </c>
      <c r="T10" s="799"/>
      <c r="U10" s="273" t="str">
        <f>E10</f>
        <v>Mkr</v>
      </c>
      <c r="V10" s="1894" t="str">
        <f>F10</f>
        <v>Not</v>
      </c>
      <c r="W10" s="1248">
        <v>2026</v>
      </c>
      <c r="X10" s="1248">
        <v>2025</v>
      </c>
      <c r="Y10" s="1248">
        <v>2025</v>
      </c>
      <c r="Z10" s="1214"/>
      <c r="AA10" s="273"/>
      <c r="AB10" s="934" t="s">
        <v>219</v>
      </c>
      <c r="AC10" s="1248">
        <v>2026</v>
      </c>
      <c r="AD10" s="1248">
        <v>2025</v>
      </c>
      <c r="AE10" s="1248">
        <v>2025</v>
      </c>
      <c r="AH10" s="403"/>
      <c r="AI10" s="404"/>
      <c r="AJ10" s="404"/>
      <c r="AK10" s="1033">
        <f t="shared" si="6"/>
        <v>2024</v>
      </c>
      <c r="AL10" s="1033">
        <f t="shared" si="6"/>
        <v>2024</v>
      </c>
      <c r="AM10" s="1033">
        <f t="shared" si="6"/>
        <v>2024</v>
      </c>
      <c r="AN10" s="1033">
        <f t="shared" si="6"/>
        <v>2024</v>
      </c>
      <c r="AO10" s="1033">
        <f t="shared" si="6"/>
        <v>2025</v>
      </c>
      <c r="AP10" s="1033">
        <f t="shared" si="6"/>
        <v>2025</v>
      </c>
      <c r="AQ10" s="1033">
        <f t="shared" si="6"/>
        <v>2025</v>
      </c>
      <c r="AR10" s="1033">
        <f t="shared" si="6"/>
        <v>2025</v>
      </c>
      <c r="AS10" s="1033">
        <f t="shared" si="6"/>
        <v>2026</v>
      </c>
      <c r="AT10" s="1033">
        <f t="shared" si="6"/>
        <v>2026</v>
      </c>
      <c r="AW10" s="404" t="str">
        <f t="shared" ref="AW10:AW19" si="18">E10</f>
        <v>Mkr</v>
      </c>
      <c r="AX10" s="404"/>
      <c r="AY10" s="1033">
        <f t="shared" si="7"/>
        <v>2024</v>
      </c>
      <c r="AZ10" s="1033">
        <f t="shared" si="7"/>
        <v>2024</v>
      </c>
      <c r="BA10" s="1033">
        <f t="shared" si="7"/>
        <v>2024</v>
      </c>
      <c r="BB10" s="1033">
        <f t="shared" si="7"/>
        <v>2024</v>
      </c>
      <c r="BC10" s="1033">
        <f t="shared" si="7"/>
        <v>2025</v>
      </c>
      <c r="BD10" s="1033">
        <f t="shared" si="7"/>
        <v>2025</v>
      </c>
      <c r="BE10" s="1033">
        <f t="shared" si="7"/>
        <v>2025</v>
      </c>
      <c r="BF10" s="1033">
        <f t="shared" si="7"/>
        <v>2025</v>
      </c>
      <c r="BG10" s="1033">
        <f t="shared" si="7"/>
        <v>2026</v>
      </c>
      <c r="BH10" s="1033">
        <f t="shared" si="7"/>
        <v>2026</v>
      </c>
      <c r="BK10" s="404"/>
      <c r="BL10" s="404"/>
      <c r="BM10" s="1033">
        <f>AY10</f>
        <v>2024</v>
      </c>
      <c r="BN10" s="1033">
        <f t="shared" ref="BN10:BV10" si="19">AZ10</f>
        <v>2024</v>
      </c>
      <c r="BO10" s="1033">
        <f t="shared" si="19"/>
        <v>2024</v>
      </c>
      <c r="BP10" s="1033">
        <f t="shared" si="19"/>
        <v>2024</v>
      </c>
      <c r="BQ10" s="1033">
        <f t="shared" si="19"/>
        <v>2025</v>
      </c>
      <c r="BR10" s="1033">
        <f t="shared" si="19"/>
        <v>2025</v>
      </c>
      <c r="BS10" s="1033">
        <f t="shared" si="19"/>
        <v>2025</v>
      </c>
      <c r="BT10" s="1033">
        <f t="shared" si="19"/>
        <v>2025</v>
      </c>
      <c r="BU10" s="1033">
        <f t="shared" si="19"/>
        <v>2026</v>
      </c>
      <c r="BV10" s="1033">
        <f t="shared" si="19"/>
        <v>2026</v>
      </c>
      <c r="BY10" s="273" t="s">
        <v>221</v>
      </c>
      <c r="BZ10" s="1248">
        <v>2026</v>
      </c>
      <c r="CA10" s="1248">
        <f>BZ10-1</f>
        <v>2025</v>
      </c>
      <c r="CB10" s="1248">
        <f>BF10</f>
        <v>2025</v>
      </c>
      <c r="CF10" s="273" t="s">
        <v>218</v>
      </c>
      <c r="CG10" s="1248">
        <f t="shared" si="17"/>
        <v>2026</v>
      </c>
      <c r="CH10" s="1248">
        <f t="shared" si="17"/>
        <v>2025</v>
      </c>
      <c r="CI10" s="1248">
        <f t="shared" si="17"/>
        <v>2025</v>
      </c>
      <c r="CL10" s="273"/>
      <c r="CM10" s="1248" t="str">
        <f>CG9&amp;" "&amp;CG10</f>
        <v>30 jun 2026</v>
      </c>
      <c r="CN10" s="1248"/>
      <c r="CO10" s="1248" t="str">
        <f>CM10</f>
        <v>30 jun 2026</v>
      </c>
      <c r="CQ10" s="796"/>
      <c r="CR10" s="273" t="s">
        <v>218</v>
      </c>
      <c r="CS10" s="1248" t="str">
        <f>CM10</f>
        <v>30 jun 2026</v>
      </c>
      <c r="CT10" s="1248"/>
      <c r="CU10" s="1248" t="str">
        <f>CO10</f>
        <v>30 jun 2026</v>
      </c>
      <c r="CW10" s="396"/>
    </row>
    <row r="11" spans="2:101" x14ac:dyDescent="0.15">
      <c r="B11" s="1803">
        <f t="shared" ref="B11:B41" si="20">IF(E11=AH11,0,1)</f>
        <v>0</v>
      </c>
      <c r="C11" s="426">
        <f t="shared" ref="C11:C41" si="21">C10+1</f>
        <v>3</v>
      </c>
      <c r="E11" s="1298" t="str">
        <f>+[2]rapkvart!B56</f>
        <v>Tillgångar</v>
      </c>
      <c r="F11" s="1035"/>
      <c r="G11" s="1035"/>
      <c r="H11" s="963"/>
      <c r="I11" s="963"/>
      <c r="J11" s="963"/>
      <c r="K11" s="963"/>
      <c r="L11" s="963"/>
      <c r="M11" s="963"/>
      <c r="N11" s="963"/>
      <c r="O11" s="963"/>
      <c r="P11" s="963"/>
      <c r="Q11" s="963"/>
      <c r="R11" s="963"/>
      <c r="S11" s="963"/>
      <c r="U11" s="262" t="str">
        <f t="shared" ref="U11:U25" si="22">E11</f>
        <v>Tillgångar</v>
      </c>
      <c r="V11" s="1885"/>
      <c r="W11" s="1884"/>
      <c r="X11" s="237"/>
      <c r="Y11" s="237"/>
      <c r="Z11" s="233"/>
      <c r="AA11" s="262" t="str">
        <f>CF11</f>
        <v>Assets</v>
      </c>
      <c r="AB11" s="1885"/>
      <c r="AC11" s="1884"/>
      <c r="AD11" s="237"/>
      <c r="AE11" s="237"/>
      <c r="AH11" s="417" t="str">
        <f>E11</f>
        <v>Tillgångar</v>
      </c>
      <c r="AI11" s="417"/>
      <c r="AJ11" s="417"/>
      <c r="AK11" s="211"/>
      <c r="AL11" s="211"/>
      <c r="AM11" s="211"/>
      <c r="AN11" s="211"/>
      <c r="AO11" s="211"/>
      <c r="AP11" s="211"/>
      <c r="AQ11" s="211"/>
      <c r="AR11" s="211"/>
      <c r="AS11" s="211"/>
      <c r="AT11" s="211"/>
      <c r="AW11" s="1812" t="str">
        <f t="shared" si="18"/>
        <v>Tillgångar</v>
      </c>
      <c r="AX11" s="1812"/>
      <c r="AY11" s="1805"/>
      <c r="AZ11" s="1805"/>
      <c r="BA11" s="1805"/>
      <c r="BB11" s="1805"/>
      <c r="BC11" s="1805"/>
      <c r="BD11" s="1805"/>
      <c r="BE11" s="1805"/>
      <c r="BF11" s="1805"/>
      <c r="BG11" s="1805"/>
      <c r="BH11" s="1805"/>
      <c r="BK11" s="1812" t="str">
        <f>AW11</f>
        <v>Tillgångar</v>
      </c>
      <c r="BL11" s="1812"/>
      <c r="BM11" s="1805"/>
      <c r="BN11" s="1805"/>
      <c r="BO11" s="1805"/>
      <c r="BP11" s="1805"/>
      <c r="BQ11" s="1805"/>
      <c r="BR11" s="1805"/>
      <c r="BS11" s="1805"/>
      <c r="BT11" s="1805"/>
      <c r="BU11" s="1805"/>
      <c r="BV11" s="1805"/>
      <c r="BY11" s="262" t="str">
        <f t="shared" ref="BY11:BY19" si="23">AH11</f>
        <v>Tillgångar</v>
      </c>
      <c r="BZ11" s="1884"/>
      <c r="CA11" s="237"/>
      <c r="CB11" s="237"/>
      <c r="CF11" s="262" t="s">
        <v>455</v>
      </c>
      <c r="CG11" s="1884"/>
      <c r="CH11" s="237"/>
      <c r="CI11" s="237"/>
      <c r="CL11" s="1889" t="str">
        <f t="shared" ref="CL11:CL19" si="24">AH11</f>
        <v>Tillgångar</v>
      </c>
      <c r="CM11" s="1884"/>
      <c r="CN11" s="237"/>
      <c r="CO11" s="1884"/>
      <c r="CQ11" s="796"/>
      <c r="CR11" s="2321" t="s">
        <v>455</v>
      </c>
      <c r="CS11" s="1954"/>
      <c r="CT11" s="233"/>
      <c r="CU11" s="1954"/>
      <c r="CW11" s="396"/>
    </row>
    <row r="12" spans="2:101" x14ac:dyDescent="0.15">
      <c r="B12" s="1803">
        <f t="shared" si="20"/>
        <v>0</v>
      </c>
      <c r="C12" s="426">
        <f t="shared" si="21"/>
        <v>4</v>
      </c>
      <c r="E12" s="1034" t="str">
        <f>+[2]rapkvart!B57</f>
        <v>Immateriella anläggningstillgångar</v>
      </c>
      <c r="F12" s="1034"/>
      <c r="G12" s="1034"/>
      <c r="H12" s="963">
        <f>[2]rapkvart!S57</f>
        <v>12.3</v>
      </c>
      <c r="I12" s="963">
        <f>[2]rapkvart!T57</f>
        <v>10.9</v>
      </c>
      <c r="J12" s="963">
        <f>[2]rapkvart!U57</f>
        <v>10</v>
      </c>
      <c r="K12" s="963">
        <f>[2]rapkvart!V57</f>
        <v>10</v>
      </c>
      <c r="L12" s="963">
        <f>+[2]rapkvart!$O$57</f>
        <v>10</v>
      </c>
      <c r="M12" s="963">
        <f>+[2]rapkvart!$P$57</f>
        <v>10</v>
      </c>
      <c r="N12" s="963">
        <f>+[2]rapkvart!$Q$57</f>
        <v>10</v>
      </c>
      <c r="O12" s="963">
        <f>+[2]rapkvart!$R$57</f>
        <v>10</v>
      </c>
      <c r="P12" s="963">
        <f>+[2]rapkvart!$K$57</f>
        <v>10</v>
      </c>
      <c r="Q12" s="963">
        <f>+[2]rapkvart!$L$57</f>
        <v>10</v>
      </c>
      <c r="R12" s="963"/>
      <c r="S12" s="963"/>
      <c r="U12" s="804" t="str">
        <f t="shared" si="22"/>
        <v>Immateriella anläggningstillgångar</v>
      </c>
      <c r="V12" s="935"/>
      <c r="W12" s="226">
        <f>Q12</f>
        <v>10</v>
      </c>
      <c r="X12" s="220">
        <f>M12</f>
        <v>10</v>
      </c>
      <c r="Y12" s="220">
        <f>O12</f>
        <v>10</v>
      </c>
      <c r="Z12" s="237"/>
      <c r="AA12" s="804" t="str">
        <f t="shared" ref="AA12:AA41" si="25">CF12</f>
        <v xml:space="preserve"> Intangible fixed assets</v>
      </c>
      <c r="AB12" s="935"/>
      <c r="AC12" s="226">
        <f t="shared" ref="AC12:AE19" si="26">W12</f>
        <v>10</v>
      </c>
      <c r="AD12" s="220">
        <f t="shared" si="26"/>
        <v>10</v>
      </c>
      <c r="AE12" s="220">
        <f t="shared" si="26"/>
        <v>10</v>
      </c>
      <c r="AH12" s="1380" t="str">
        <f>E12</f>
        <v>Immateriella anläggningstillgångar</v>
      </c>
      <c r="AI12" s="1380"/>
      <c r="AJ12" s="1380"/>
      <c r="AK12" s="1381">
        <f t="shared" ref="AK12:AR12" si="27">AK117</f>
        <v>23.966496865203762</v>
      </c>
      <c r="AL12" s="1381">
        <f t="shared" si="27"/>
        <v>22.977664576802511</v>
      </c>
      <c r="AM12" s="1381">
        <f t="shared" si="27"/>
        <v>21.988832288401255</v>
      </c>
      <c r="AN12" s="1381">
        <f t="shared" si="27"/>
        <v>21</v>
      </c>
      <c r="AO12" s="1381">
        <f t="shared" si="27"/>
        <v>21</v>
      </c>
      <c r="AP12" s="1381">
        <f t="shared" si="27"/>
        <v>21</v>
      </c>
      <c r="AQ12" s="1381">
        <f t="shared" si="27"/>
        <v>21</v>
      </c>
      <c r="AR12" s="1381">
        <f t="shared" si="27"/>
        <v>21</v>
      </c>
      <c r="AS12" s="1381">
        <f>AS117</f>
        <v>21.270792643639574</v>
      </c>
      <c r="AT12" s="1381">
        <f>AT117</f>
        <v>21.473735515783268</v>
      </c>
      <c r="AW12" s="1813" t="str">
        <f t="shared" si="18"/>
        <v>Immateriella anläggningstillgångar</v>
      </c>
      <c r="AX12" s="1813"/>
      <c r="AY12" s="1307">
        <f t="shared" ref="AY12:AY41" si="28">AK12-H12</f>
        <v>11.666496865203762</v>
      </c>
      <c r="AZ12" s="1307">
        <f t="shared" ref="AZ12:AZ41" si="29">AL12-I12</f>
        <v>12.07766457680251</v>
      </c>
      <c r="BA12" s="1307">
        <f t="shared" ref="BA12:BA41" si="30">AM12-J12</f>
        <v>11.988832288401255</v>
      </c>
      <c r="BB12" s="1307">
        <f t="shared" ref="BB12:BB41" si="31">AN12-K12</f>
        <v>11</v>
      </c>
      <c r="BC12" s="1307">
        <f t="shared" ref="BC12:BC41" si="32">AO12-L12</f>
        <v>11</v>
      </c>
      <c r="BD12" s="1307">
        <f t="shared" ref="BD12:BD41" si="33">AP12-M12</f>
        <v>11</v>
      </c>
      <c r="BE12" s="1307">
        <f t="shared" ref="BE12:BE41" si="34">AQ12-N12</f>
        <v>11</v>
      </c>
      <c r="BF12" s="1307">
        <f t="shared" ref="BF12:BF41" si="35">AR12-O12</f>
        <v>11</v>
      </c>
      <c r="BG12" s="1307">
        <f t="shared" ref="BG12:BG41" si="36">AS12-P12</f>
        <v>11.270792643639574</v>
      </c>
      <c r="BH12" s="1307">
        <f t="shared" ref="BH12:BH41" si="37">AT12-Q12</f>
        <v>11.473735515783268</v>
      </c>
      <c r="BK12" s="1813" t="str">
        <f t="shared" ref="BK12:BK41" si="38">AW12</f>
        <v>Immateriella anläggningstillgångar</v>
      </c>
      <c r="BL12" s="1813"/>
      <c r="BM12" s="1307"/>
      <c r="BN12" s="1307">
        <f>AZ12-AY12</f>
        <v>0.41116771159874865</v>
      </c>
      <c r="BO12" s="1307">
        <f t="shared" ref="BO12:BV12" si="39">BA12-AZ12</f>
        <v>-8.88322884012549E-2</v>
      </c>
      <c r="BP12" s="1307">
        <f t="shared" si="39"/>
        <v>-0.98883228840125525</v>
      </c>
      <c r="BQ12" s="1307">
        <f t="shared" si="39"/>
        <v>0</v>
      </c>
      <c r="BR12" s="1307">
        <f t="shared" si="39"/>
        <v>0</v>
      </c>
      <c r="BS12" s="1307">
        <f t="shared" si="39"/>
        <v>0</v>
      </c>
      <c r="BT12" s="1307">
        <f t="shared" si="39"/>
        <v>0</v>
      </c>
      <c r="BU12" s="1307">
        <f t="shared" si="39"/>
        <v>0.27079264363957378</v>
      </c>
      <c r="BV12" s="1307">
        <f t="shared" si="39"/>
        <v>0.20294287214369433</v>
      </c>
      <c r="BY12" s="804" t="str">
        <f t="shared" si="23"/>
        <v>Immateriella anläggningstillgångar</v>
      </c>
      <c r="BZ12" s="226">
        <f t="shared" ref="BZ12:BZ19" si="40">AT12</f>
        <v>21.473735515783268</v>
      </c>
      <c r="CA12" s="220">
        <f t="shared" ref="CA12:CA19" si="41">AP12</f>
        <v>21</v>
      </c>
      <c r="CB12" s="220">
        <f t="shared" ref="CB12:CB19" si="42">AR12</f>
        <v>21</v>
      </c>
      <c r="CC12" s="888"/>
      <c r="CD12" s="888"/>
      <c r="CE12" s="888"/>
      <c r="CF12" s="804" t="str">
        <f>+[2]rapkvart!$A57</f>
        <v xml:space="preserve"> Intangible fixed assets</v>
      </c>
      <c r="CG12" s="226">
        <f>$BZ12</f>
        <v>21.473735515783268</v>
      </c>
      <c r="CH12" s="220">
        <f>$CA12</f>
        <v>21</v>
      </c>
      <c r="CI12" s="220">
        <f>$CB12</f>
        <v>21</v>
      </c>
      <c r="CK12" s="888"/>
      <c r="CL12" s="804" t="str">
        <f t="shared" si="24"/>
        <v>Immateriella anläggningstillgångar</v>
      </c>
      <c r="CM12" s="226">
        <f t="shared" ref="CM12:CM19" si="43">W12</f>
        <v>10</v>
      </c>
      <c r="CN12" s="1914">
        <f>CO12-CM12</f>
        <v>11.473735515783268</v>
      </c>
      <c r="CO12" s="226">
        <f t="shared" ref="CO12:CO19" si="44">BZ12</f>
        <v>21.473735515783268</v>
      </c>
      <c r="CP12" s="962"/>
      <c r="CQ12" s="1114"/>
      <c r="CR12" s="804" t="s">
        <v>456</v>
      </c>
      <c r="CS12" s="226">
        <f t="shared" ref="CS12:CU19" si="45">CM12</f>
        <v>10</v>
      </c>
      <c r="CT12" s="1914">
        <f t="shared" si="45"/>
        <v>11.473735515783268</v>
      </c>
      <c r="CU12" s="226">
        <f t="shared" si="45"/>
        <v>21.473735515783268</v>
      </c>
      <c r="CW12" s="396"/>
    </row>
    <row r="13" spans="2:101" x14ac:dyDescent="0.15">
      <c r="B13" s="1803">
        <f t="shared" si="20"/>
        <v>0</v>
      </c>
      <c r="C13" s="426">
        <f t="shared" si="21"/>
        <v>5</v>
      </c>
      <c r="E13" s="1035" t="str">
        <f>+[2]rapkvart!B58</f>
        <v>Materiella anläggningstillgångar</v>
      </c>
      <c r="F13" s="1035"/>
      <c r="G13" s="1035"/>
      <c r="H13" s="1099">
        <f>[2]rapkvart!S58</f>
        <v>590.6</v>
      </c>
      <c r="I13" s="1099">
        <f>[2]rapkvart!T58</f>
        <v>586.70000000000005</v>
      </c>
      <c r="J13" s="1099">
        <f>[2]rapkvart!U58</f>
        <v>589.9</v>
      </c>
      <c r="K13" s="1099">
        <f>[2]rapkvart!V58</f>
        <v>587.1</v>
      </c>
      <c r="L13" s="1099">
        <f>+[2]rapkvart!$O$58</f>
        <v>583.79999999999995</v>
      </c>
      <c r="M13" s="1099">
        <f>+[2]rapkvart!$P$58</f>
        <v>586.70000000000005</v>
      </c>
      <c r="N13" s="1099">
        <f>+[2]rapkvart!$Q$58</f>
        <v>591.1</v>
      </c>
      <c r="O13" s="1099">
        <f>+[2]rapkvart!$R$58</f>
        <v>584.9</v>
      </c>
      <c r="P13" s="1099">
        <f>+[2]rapkvart!$K$58</f>
        <v>575.5</v>
      </c>
      <c r="Q13" s="1099">
        <f>+[2]rapkvart!$L$58</f>
        <v>566.4</v>
      </c>
      <c r="R13" s="1099"/>
      <c r="S13" s="1099"/>
      <c r="U13" s="807" t="str">
        <f t="shared" si="22"/>
        <v>Materiella anläggningstillgångar</v>
      </c>
      <c r="V13" s="230"/>
      <c r="W13" s="227">
        <f t="shared" ref="W13:W19" si="46">Q13</f>
        <v>566.4</v>
      </c>
      <c r="X13" s="234">
        <f t="shared" ref="X13:X19" si="47">M13</f>
        <v>586.70000000000005</v>
      </c>
      <c r="Y13" s="234">
        <f t="shared" ref="Y13:Y25" si="48">O13</f>
        <v>584.9</v>
      </c>
      <c r="Z13" s="237"/>
      <c r="AA13" s="807" t="str">
        <f t="shared" si="25"/>
        <v xml:space="preserve"> Tangible fixed assets</v>
      </c>
      <c r="AB13" s="230"/>
      <c r="AC13" s="227">
        <f t="shared" si="26"/>
        <v>566.4</v>
      </c>
      <c r="AD13" s="234">
        <f t="shared" si="26"/>
        <v>586.70000000000005</v>
      </c>
      <c r="AE13" s="234">
        <f t="shared" si="26"/>
        <v>584.9</v>
      </c>
      <c r="AH13" s="1035" t="str">
        <f>E13</f>
        <v>Materiella anläggningstillgångar</v>
      </c>
      <c r="AI13" s="1035"/>
      <c r="AJ13" s="1035"/>
      <c r="AK13" s="1067">
        <f t="shared" ref="AK13" si="49">SUM(AK14:AK15)</f>
        <v>1461.1115697929508</v>
      </c>
      <c r="AL13" s="1067">
        <f t="shared" ref="AL13:AS13" si="50">SUM(AL14:AL15)</f>
        <v>1477.7743798619674</v>
      </c>
      <c r="AM13" s="1067">
        <f t="shared" si="50"/>
        <v>1494.4371899309835</v>
      </c>
      <c r="AN13" s="1067">
        <f t="shared" si="50"/>
        <v>1511.1</v>
      </c>
      <c r="AO13" s="1067">
        <f t="shared" si="50"/>
        <v>1517.1</v>
      </c>
      <c r="AP13" s="1067">
        <f t="shared" si="50"/>
        <v>1523.1</v>
      </c>
      <c r="AQ13" s="1067">
        <f t="shared" si="50"/>
        <v>1529.1</v>
      </c>
      <c r="AR13" s="1067">
        <f t="shared" si="50"/>
        <v>1535.1</v>
      </c>
      <c r="AS13" s="1067">
        <f t="shared" si="50"/>
        <v>1518.5871159849999</v>
      </c>
      <c r="AT13" s="1067">
        <f t="shared" ref="AT13" si="51">SUM(AT14:AT15)</f>
        <v>1540.7002539299999</v>
      </c>
      <c r="AW13" s="1814" t="str">
        <f t="shared" si="18"/>
        <v>Materiella anläggningstillgångar</v>
      </c>
      <c r="AX13" s="1814"/>
      <c r="AY13" s="1805">
        <f t="shared" si="28"/>
        <v>870.51156979295081</v>
      </c>
      <c r="AZ13" s="1805">
        <f t="shared" si="29"/>
        <v>891.07437986196737</v>
      </c>
      <c r="BA13" s="1805">
        <f t="shared" si="30"/>
        <v>904.53718993098357</v>
      </c>
      <c r="BB13" s="1805">
        <f t="shared" si="31"/>
        <v>923.99999999999989</v>
      </c>
      <c r="BC13" s="1805">
        <f t="shared" si="32"/>
        <v>933.3</v>
      </c>
      <c r="BD13" s="1805">
        <f t="shared" si="33"/>
        <v>936.39999999999986</v>
      </c>
      <c r="BE13" s="1805">
        <f t="shared" si="34"/>
        <v>937.99999999999989</v>
      </c>
      <c r="BF13" s="1805">
        <f t="shared" si="35"/>
        <v>950.19999999999993</v>
      </c>
      <c r="BG13" s="1805">
        <f t="shared" si="36"/>
        <v>943.08711598499985</v>
      </c>
      <c r="BH13" s="1805">
        <f t="shared" si="37"/>
        <v>974.30025392999994</v>
      </c>
      <c r="BK13" s="1814" t="str">
        <f t="shared" si="38"/>
        <v>Materiella anläggningstillgångar</v>
      </c>
      <c r="BL13" s="1814"/>
      <c r="BM13" s="1805"/>
      <c r="BN13" s="1805">
        <f t="shared" ref="BN13:BN41" si="52">AZ13-AY13</f>
        <v>20.562810069016564</v>
      </c>
      <c r="BO13" s="1805">
        <f t="shared" ref="BO13:BO41" si="53">BA13-AZ13</f>
        <v>13.4628100690162</v>
      </c>
      <c r="BP13" s="1805">
        <f t="shared" ref="BP13:BP41" si="54">BB13-BA13</f>
        <v>19.462810069016314</v>
      </c>
      <c r="BQ13" s="1805">
        <f t="shared" ref="BQ13:BQ41" si="55">BC13-BB13</f>
        <v>9.3000000000000682</v>
      </c>
      <c r="BR13" s="1805">
        <f t="shared" ref="BR13:BR41" si="56">BD13-BC13</f>
        <v>3.0999999999999091</v>
      </c>
      <c r="BS13" s="1805">
        <f t="shared" ref="BS13:BS41" si="57">BE13-BD13</f>
        <v>1.6000000000000227</v>
      </c>
      <c r="BT13" s="1805">
        <f t="shared" ref="BT13:BT41" si="58">BF13-BE13</f>
        <v>12.200000000000045</v>
      </c>
      <c r="BU13" s="1805">
        <f t="shared" ref="BU13:BU41" si="59">BG13-BF13</f>
        <v>-7.1128840150000769</v>
      </c>
      <c r="BV13" s="1805">
        <f t="shared" ref="BV13:BV41" si="60">BH13-BG13</f>
        <v>31.213137945000085</v>
      </c>
      <c r="BY13" s="807" t="str">
        <f t="shared" si="23"/>
        <v>Materiella anläggningstillgångar</v>
      </c>
      <c r="BZ13" s="227">
        <f t="shared" si="40"/>
        <v>1540.7002539299999</v>
      </c>
      <c r="CA13" s="234">
        <f t="shared" si="41"/>
        <v>1523.1</v>
      </c>
      <c r="CB13" s="234">
        <f t="shared" si="42"/>
        <v>1535.1</v>
      </c>
      <c r="CC13" s="888"/>
      <c r="CD13" s="888"/>
      <c r="CE13" s="888"/>
      <c r="CF13" s="807" t="str">
        <f>+[2]rapkvart!$A58</f>
        <v xml:space="preserve"> Tangible fixed assets</v>
      </c>
      <c r="CG13" s="227">
        <f t="shared" ref="CG13:CG41" si="61">$BZ13</f>
        <v>1540.7002539299999</v>
      </c>
      <c r="CH13" s="234">
        <f t="shared" ref="CH13:CH41" si="62">$CA13</f>
        <v>1523.1</v>
      </c>
      <c r="CI13" s="234">
        <f t="shared" ref="CI13:CI25" si="63">$CB13</f>
        <v>1535.1</v>
      </c>
      <c r="CK13" s="888"/>
      <c r="CL13" s="807" t="str">
        <f t="shared" si="24"/>
        <v>Materiella anläggningstillgångar</v>
      </c>
      <c r="CM13" s="227">
        <f t="shared" si="43"/>
        <v>566.4</v>
      </c>
      <c r="CN13" s="1915">
        <f>CO13-CM13</f>
        <v>974.30025392999994</v>
      </c>
      <c r="CO13" s="227">
        <f t="shared" si="44"/>
        <v>1540.7002539299999</v>
      </c>
      <c r="CP13" s="962"/>
      <c r="CQ13" s="1114"/>
      <c r="CR13" s="807" t="s">
        <v>457</v>
      </c>
      <c r="CS13" s="227">
        <f t="shared" si="45"/>
        <v>566.4</v>
      </c>
      <c r="CT13" s="1915">
        <f t="shared" si="45"/>
        <v>974.30025392999994</v>
      </c>
      <c r="CU13" s="227">
        <f t="shared" si="45"/>
        <v>1540.7002539299999</v>
      </c>
      <c r="CW13" s="396"/>
    </row>
    <row r="14" spans="2:101" x14ac:dyDescent="0.15">
      <c r="B14" s="1803">
        <f t="shared" si="20"/>
        <v>0</v>
      </c>
      <c r="C14" s="426">
        <f t="shared" si="21"/>
        <v>6</v>
      </c>
      <c r="E14" s="1035" t="str">
        <f>AH14</f>
        <v>varav byggnader och mark</v>
      </c>
      <c r="F14" s="1035"/>
      <c r="G14" s="1035"/>
      <c r="H14" s="1099">
        <f t="shared" ref="H14:P14" si="64">SUM(H72)</f>
        <v>154.41079300000001</v>
      </c>
      <c r="I14" s="1099">
        <f t="shared" si="64"/>
        <v>152.745407</v>
      </c>
      <c r="J14" s="1099">
        <f t="shared" si="64"/>
        <v>151.38143199999999</v>
      </c>
      <c r="K14" s="1099">
        <f t="shared" si="64"/>
        <v>149.73826700000001</v>
      </c>
      <c r="L14" s="1099">
        <f>SUM(L72)</f>
        <v>154.41079337179718</v>
      </c>
      <c r="M14" s="1099">
        <f t="shared" si="64"/>
        <v>152.74540651346109</v>
      </c>
      <c r="N14" s="1099">
        <f t="shared" si="64"/>
        <v>151.38143235512493</v>
      </c>
      <c r="O14" s="1099">
        <f t="shared" si="64"/>
        <v>149.73826726678877</v>
      </c>
      <c r="P14" s="1099">
        <f t="shared" si="64"/>
        <v>144.64182600000001</v>
      </c>
      <c r="Q14" s="1099">
        <f>SUM(Q72)</f>
        <v>143.14238800000001</v>
      </c>
      <c r="R14" s="1099"/>
      <c r="S14" s="1099"/>
      <c r="U14" s="809" t="str">
        <f t="shared" si="22"/>
        <v>varav byggnader och mark</v>
      </c>
      <c r="V14" s="230"/>
      <c r="W14" s="1955">
        <f>Q14</f>
        <v>143.14238800000001</v>
      </c>
      <c r="X14" s="1956">
        <f t="shared" si="47"/>
        <v>152.74540651346109</v>
      </c>
      <c r="Y14" s="1956">
        <f t="shared" si="48"/>
        <v>149.73826726678877</v>
      </c>
      <c r="Z14" s="237"/>
      <c r="AA14" s="809" t="str">
        <f t="shared" si="25"/>
        <v>of which buildings and land</v>
      </c>
      <c r="AB14" s="230"/>
      <c r="AC14" s="227">
        <f t="shared" si="26"/>
        <v>143.14238800000001</v>
      </c>
      <c r="AD14" s="234">
        <f t="shared" si="26"/>
        <v>152.74540651346109</v>
      </c>
      <c r="AE14" s="234">
        <f t="shared" si="26"/>
        <v>149.73826726678877</v>
      </c>
      <c r="AG14" s="396">
        <v>504</v>
      </c>
      <c r="AH14" s="805" t="s">
        <v>458</v>
      </c>
      <c r="AI14" s="805"/>
      <c r="AJ14" s="805"/>
      <c r="AK14" s="1381">
        <f t="shared" ref="AK14:AT14" si="65">SUM(AK118)</f>
        <v>487.87623513659867</v>
      </c>
      <c r="AL14" s="1381">
        <f t="shared" si="65"/>
        <v>492.98415675773253</v>
      </c>
      <c r="AM14" s="1381">
        <f t="shared" si="65"/>
        <v>498.09207837886629</v>
      </c>
      <c r="AN14" s="1381">
        <f t="shared" si="65"/>
        <v>503.20000000000005</v>
      </c>
      <c r="AO14" s="1381">
        <f t="shared" si="65"/>
        <v>502.375</v>
      </c>
      <c r="AP14" s="1381">
        <f t="shared" si="65"/>
        <v>501.54999999999995</v>
      </c>
      <c r="AQ14" s="1381">
        <f t="shared" si="65"/>
        <v>500.72500000000002</v>
      </c>
      <c r="AR14" s="1381">
        <f t="shared" si="65"/>
        <v>499.9</v>
      </c>
      <c r="AS14" s="1381">
        <f t="shared" si="65"/>
        <v>512.76120107500003</v>
      </c>
      <c r="AT14" s="1381">
        <f t="shared" si="65"/>
        <v>522.48809083000003</v>
      </c>
      <c r="AW14" s="1814" t="str">
        <f t="shared" si="18"/>
        <v>varav byggnader och mark</v>
      </c>
      <c r="AX14" s="1814"/>
      <c r="AY14" s="1805">
        <f t="shared" si="28"/>
        <v>333.46544213659865</v>
      </c>
      <c r="AZ14" s="1805">
        <f t="shared" si="29"/>
        <v>340.23874975773253</v>
      </c>
      <c r="BA14" s="1805">
        <f t="shared" si="30"/>
        <v>346.71064637886627</v>
      </c>
      <c r="BB14" s="1805">
        <f t="shared" si="31"/>
        <v>353.46173300000004</v>
      </c>
      <c r="BC14" s="1805">
        <f t="shared" si="32"/>
        <v>347.96420662820282</v>
      </c>
      <c r="BD14" s="1805">
        <f t="shared" si="33"/>
        <v>348.80459348653886</v>
      </c>
      <c r="BE14" s="1805">
        <f t="shared" si="34"/>
        <v>349.34356764487507</v>
      </c>
      <c r="BF14" s="1805">
        <f t="shared" si="35"/>
        <v>350.16173273321124</v>
      </c>
      <c r="BG14" s="1805">
        <f t="shared" si="36"/>
        <v>368.11937507499999</v>
      </c>
      <c r="BH14" s="1805">
        <f>AT14-Q14</f>
        <v>379.34570283000005</v>
      </c>
      <c r="BK14" s="1814" t="str">
        <f t="shared" si="38"/>
        <v>varav byggnader och mark</v>
      </c>
      <c r="BL14" s="1814"/>
      <c r="BM14" s="1805"/>
      <c r="BN14" s="1805">
        <f t="shared" si="52"/>
        <v>6.7733076211338812</v>
      </c>
      <c r="BO14" s="1805">
        <f t="shared" si="53"/>
        <v>6.4718966211337374</v>
      </c>
      <c r="BP14" s="1805">
        <f t="shared" si="54"/>
        <v>6.7510866211337657</v>
      </c>
      <c r="BQ14" s="1805">
        <f t="shared" si="55"/>
        <v>-5.4975263717972211</v>
      </c>
      <c r="BR14" s="1805">
        <f t="shared" si="56"/>
        <v>0.84038685833604632</v>
      </c>
      <c r="BS14" s="1805">
        <f t="shared" si="57"/>
        <v>0.53897415833620244</v>
      </c>
      <c r="BT14" s="1805">
        <f t="shared" si="58"/>
        <v>0.81816508833617263</v>
      </c>
      <c r="BU14" s="1805">
        <f t="shared" si="59"/>
        <v>17.957642341788755</v>
      </c>
      <c r="BV14" s="1805">
        <f t="shared" si="60"/>
        <v>11.226327755000057</v>
      </c>
      <c r="BY14" s="809" t="str">
        <f t="shared" si="23"/>
        <v>varav byggnader och mark</v>
      </c>
      <c r="BZ14" s="227">
        <f t="shared" si="40"/>
        <v>522.48809083000003</v>
      </c>
      <c r="CA14" s="234">
        <f t="shared" si="41"/>
        <v>501.54999999999995</v>
      </c>
      <c r="CB14" s="234">
        <f t="shared" si="42"/>
        <v>499.9</v>
      </c>
      <c r="CC14" s="888"/>
      <c r="CD14" s="888"/>
      <c r="CE14" s="888"/>
      <c r="CF14" s="809" t="s">
        <v>459</v>
      </c>
      <c r="CG14" s="227">
        <f t="shared" si="61"/>
        <v>522.48809083000003</v>
      </c>
      <c r="CH14" s="234">
        <f t="shared" si="62"/>
        <v>501.54999999999995</v>
      </c>
      <c r="CI14" s="234">
        <f t="shared" si="63"/>
        <v>499.9</v>
      </c>
      <c r="CK14" s="888"/>
      <c r="CL14" s="807" t="str">
        <f t="shared" si="24"/>
        <v>varav byggnader och mark</v>
      </c>
      <c r="CM14" s="227">
        <f t="shared" si="43"/>
        <v>143.14238800000001</v>
      </c>
      <c r="CN14" s="1915">
        <f>CO14-CM14</f>
        <v>379.34570283000005</v>
      </c>
      <c r="CO14" s="227">
        <f t="shared" si="44"/>
        <v>522.48809083000003</v>
      </c>
      <c r="CP14" s="962"/>
      <c r="CQ14" s="1114"/>
      <c r="CR14" s="809" t="s">
        <v>459</v>
      </c>
      <c r="CS14" s="227">
        <f t="shared" si="45"/>
        <v>143.14238800000001</v>
      </c>
      <c r="CT14" s="1915">
        <f>CN14</f>
        <v>379.34570283000005</v>
      </c>
      <c r="CU14" s="227">
        <f t="shared" si="45"/>
        <v>522.48809083000003</v>
      </c>
      <c r="CW14" s="396"/>
    </row>
    <row r="15" spans="2:101" x14ac:dyDescent="0.15">
      <c r="B15" s="1803">
        <f t="shared" si="20"/>
        <v>0</v>
      </c>
      <c r="C15" s="426">
        <f t="shared" si="21"/>
        <v>7</v>
      </c>
      <c r="E15" s="1035" t="str">
        <f>AH15</f>
        <v>varav maskiner och inventarier</v>
      </c>
      <c r="F15" s="1035"/>
      <c r="G15" s="1035"/>
      <c r="H15" s="1099">
        <f t="shared" ref="H15:P15" si="66">SUM(H73:H74)</f>
        <v>436.20899300000002</v>
      </c>
      <c r="I15" s="1099">
        <f t="shared" si="66"/>
        <v>433.914987</v>
      </c>
      <c r="J15" s="1099">
        <f t="shared" si="66"/>
        <v>438.52838500000001</v>
      </c>
      <c r="K15" s="1099">
        <f t="shared" si="66"/>
        <v>437.37614000000002</v>
      </c>
      <c r="L15" s="1099">
        <f t="shared" si="66"/>
        <v>429.20899337999998</v>
      </c>
      <c r="M15" s="1099">
        <f t="shared" si="66"/>
        <v>433.91498759950002</v>
      </c>
      <c r="N15" s="1099">
        <f t="shared" si="66"/>
        <v>439.52838524999999</v>
      </c>
      <c r="O15" s="1099">
        <f t="shared" si="66"/>
        <v>435.37614084649999</v>
      </c>
      <c r="P15" s="1099">
        <f t="shared" si="66"/>
        <v>430.89938700000005</v>
      </c>
      <c r="Q15" s="1099">
        <f>SUM(Q73:Q74)</f>
        <v>423.22378900000001</v>
      </c>
      <c r="R15" s="1099"/>
      <c r="S15" s="1099"/>
      <c r="U15" s="809" t="str">
        <f t="shared" si="22"/>
        <v>varav maskiner och inventarier</v>
      </c>
      <c r="V15" s="230"/>
      <c r="W15" s="1955">
        <f>Q15</f>
        <v>423.22378900000001</v>
      </c>
      <c r="X15" s="1956">
        <f t="shared" si="47"/>
        <v>433.91498759950002</v>
      </c>
      <c r="Y15" s="1956">
        <f t="shared" si="48"/>
        <v>435.37614084649999</v>
      </c>
      <c r="Z15" s="237"/>
      <c r="AA15" s="809" t="str">
        <f t="shared" si="25"/>
        <v>of which machinery and equipment</v>
      </c>
      <c r="AB15" s="230"/>
      <c r="AC15" s="227">
        <f>W15</f>
        <v>423.22378900000001</v>
      </c>
      <c r="AD15" s="234">
        <f t="shared" si="26"/>
        <v>433.91498759950002</v>
      </c>
      <c r="AE15" s="234">
        <f t="shared" si="26"/>
        <v>435.37614084649999</v>
      </c>
      <c r="AG15" s="396">
        <v>987.7</v>
      </c>
      <c r="AH15" s="805" t="s">
        <v>460</v>
      </c>
      <c r="AI15" s="805"/>
      <c r="AJ15" s="805"/>
      <c r="AK15" s="1381">
        <f t="shared" ref="AK15:AT15" si="67">SUM(AK119,AK120)</f>
        <v>973.23533465635228</v>
      </c>
      <c r="AL15" s="1381">
        <f t="shared" si="67"/>
        <v>984.79022310423488</v>
      </c>
      <c r="AM15" s="1381">
        <f t="shared" si="67"/>
        <v>996.34511155211737</v>
      </c>
      <c r="AN15" s="1381">
        <f t="shared" si="67"/>
        <v>1007.9</v>
      </c>
      <c r="AO15" s="1381">
        <f t="shared" si="67"/>
        <v>1014.725</v>
      </c>
      <c r="AP15" s="1381">
        <f t="shared" si="67"/>
        <v>1021.5500000000001</v>
      </c>
      <c r="AQ15" s="1381">
        <f t="shared" si="67"/>
        <v>1028.375</v>
      </c>
      <c r="AR15" s="1381">
        <f t="shared" si="67"/>
        <v>1035.2</v>
      </c>
      <c r="AS15" s="1381">
        <f t="shared" si="67"/>
        <v>1005.8259149099999</v>
      </c>
      <c r="AT15" s="1381">
        <f t="shared" si="67"/>
        <v>1018.2121630999999</v>
      </c>
      <c r="AW15" s="1814" t="str">
        <f t="shared" si="18"/>
        <v>varav maskiner och inventarier</v>
      </c>
      <c r="AX15" s="1814"/>
      <c r="AY15" s="1805">
        <f t="shared" si="28"/>
        <v>537.02634165635232</v>
      </c>
      <c r="AZ15" s="1805">
        <f t="shared" si="29"/>
        <v>550.87523610423489</v>
      </c>
      <c r="BA15" s="1805">
        <f t="shared" si="30"/>
        <v>557.81672655211742</v>
      </c>
      <c r="BB15" s="1805">
        <f t="shared" si="31"/>
        <v>570.52386000000001</v>
      </c>
      <c r="BC15" s="1805">
        <f t="shared" si="32"/>
        <v>585.5160066200001</v>
      </c>
      <c r="BD15" s="1805">
        <f t="shared" si="33"/>
        <v>587.63501240050005</v>
      </c>
      <c r="BE15" s="1805">
        <f t="shared" si="34"/>
        <v>588.84661475000007</v>
      </c>
      <c r="BF15" s="1805">
        <f t="shared" si="35"/>
        <v>599.82385915350005</v>
      </c>
      <c r="BG15" s="1805">
        <f t="shared" si="36"/>
        <v>574.92652790999989</v>
      </c>
      <c r="BH15" s="1805">
        <f>AT15-Q15</f>
        <v>594.98837409999987</v>
      </c>
      <c r="BK15" s="1814" t="str">
        <f t="shared" si="38"/>
        <v>varav maskiner och inventarier</v>
      </c>
      <c r="BL15" s="1814"/>
      <c r="BM15" s="1805"/>
      <c r="BN15" s="1805">
        <f t="shared" si="52"/>
        <v>13.848894447882572</v>
      </c>
      <c r="BO15" s="1805">
        <f t="shared" si="53"/>
        <v>6.9414904478825292</v>
      </c>
      <c r="BP15" s="1805">
        <f t="shared" si="54"/>
        <v>12.707133447882597</v>
      </c>
      <c r="BQ15" s="1805">
        <f t="shared" si="55"/>
        <v>14.992146620000085</v>
      </c>
      <c r="BR15" s="1805">
        <f t="shared" si="56"/>
        <v>2.1190057804999469</v>
      </c>
      <c r="BS15" s="1805">
        <f t="shared" si="57"/>
        <v>1.2116023495000263</v>
      </c>
      <c r="BT15" s="1805">
        <f t="shared" si="58"/>
        <v>10.977244403499981</v>
      </c>
      <c r="BU15" s="1805">
        <f t="shared" si="59"/>
        <v>-24.897331243500162</v>
      </c>
      <c r="BV15" s="1805">
        <f t="shared" si="60"/>
        <v>20.061846189999983</v>
      </c>
      <c r="BY15" s="809" t="str">
        <f t="shared" si="23"/>
        <v>varav maskiner och inventarier</v>
      </c>
      <c r="BZ15" s="227">
        <f t="shared" si="40"/>
        <v>1018.2121630999999</v>
      </c>
      <c r="CA15" s="234">
        <f t="shared" si="41"/>
        <v>1021.5500000000001</v>
      </c>
      <c r="CB15" s="234">
        <f t="shared" si="42"/>
        <v>1035.2</v>
      </c>
      <c r="CC15" s="888"/>
      <c r="CD15" s="888"/>
      <c r="CE15" s="888"/>
      <c r="CF15" s="809" t="s">
        <v>461</v>
      </c>
      <c r="CG15" s="227">
        <f t="shared" si="61"/>
        <v>1018.2121630999999</v>
      </c>
      <c r="CH15" s="234">
        <f t="shared" si="62"/>
        <v>1021.5500000000001</v>
      </c>
      <c r="CI15" s="234">
        <f t="shared" si="63"/>
        <v>1035.2</v>
      </c>
      <c r="CK15" s="888"/>
      <c r="CL15" s="807" t="str">
        <f t="shared" si="24"/>
        <v>varav maskiner och inventarier</v>
      </c>
      <c r="CM15" s="227">
        <f t="shared" si="43"/>
        <v>423.22378900000001</v>
      </c>
      <c r="CN15" s="1915">
        <f>CO15-CM15</f>
        <v>594.98837409999987</v>
      </c>
      <c r="CO15" s="227">
        <f t="shared" si="44"/>
        <v>1018.2121630999999</v>
      </c>
      <c r="CP15" s="962"/>
      <c r="CQ15" s="1114"/>
      <c r="CR15" s="809" t="s">
        <v>461</v>
      </c>
      <c r="CS15" s="227">
        <f t="shared" si="45"/>
        <v>423.22378900000001</v>
      </c>
      <c r="CT15" s="1915">
        <f t="shared" si="45"/>
        <v>594.98837409999987</v>
      </c>
      <c r="CU15" s="227">
        <f t="shared" si="45"/>
        <v>1018.2121630999999</v>
      </c>
      <c r="CW15" s="396"/>
    </row>
    <row r="16" spans="2:101" x14ac:dyDescent="0.15">
      <c r="B16" s="1803">
        <f t="shared" si="20"/>
        <v>0</v>
      </c>
      <c r="C16" s="426">
        <f t="shared" si="21"/>
        <v>8</v>
      </c>
      <c r="E16" s="1035" t="str">
        <f>+[2]rapkvart!B59</f>
        <v>Nyttjanderättstillgångar</v>
      </c>
      <c r="F16" s="1035"/>
      <c r="G16" s="1035"/>
      <c r="H16" s="1099">
        <f>[2]rapkvart!S59</f>
        <v>33</v>
      </c>
      <c r="I16" s="1099">
        <f>[2]rapkvart!T59</f>
        <v>26.7</v>
      </c>
      <c r="J16" s="1099">
        <f>[2]rapkvart!U59</f>
        <v>24</v>
      </c>
      <c r="K16" s="1099">
        <f>[2]rapkvart!V59</f>
        <v>22</v>
      </c>
      <c r="L16" s="1099">
        <f>+[2]rapkvart!$O$59</f>
        <v>21.8</v>
      </c>
      <c r="M16" s="1099">
        <f>+[2]rapkvart!$P$59</f>
        <v>18.600000000000001</v>
      </c>
      <c r="N16" s="1099">
        <f>+[2]rapkvart!$Q$59</f>
        <v>15.9</v>
      </c>
      <c r="O16" s="1099">
        <f>+[2]rapkvart!$R$59</f>
        <v>17.8</v>
      </c>
      <c r="P16" s="1099">
        <f>+[2]rapkvart!$K$59</f>
        <v>20.2</v>
      </c>
      <c r="Q16" s="1099">
        <f>+[2]rapkvart!$L$59</f>
        <v>18.600000000000001</v>
      </c>
      <c r="R16" s="1099"/>
      <c r="S16" s="1099"/>
      <c r="U16" s="807" t="str">
        <f t="shared" si="22"/>
        <v>Nyttjanderättstillgångar</v>
      </c>
      <c r="V16" s="230"/>
      <c r="W16" s="227">
        <f t="shared" si="46"/>
        <v>18.600000000000001</v>
      </c>
      <c r="X16" s="234">
        <f t="shared" si="47"/>
        <v>18.600000000000001</v>
      </c>
      <c r="Y16" s="234">
        <f t="shared" si="48"/>
        <v>17.8</v>
      </c>
      <c r="Z16" s="237"/>
      <c r="AA16" s="807" t="str">
        <f t="shared" si="25"/>
        <v xml:space="preserve"> Right of use assets</v>
      </c>
      <c r="AB16" s="230"/>
      <c r="AC16" s="227">
        <f t="shared" si="26"/>
        <v>18.600000000000001</v>
      </c>
      <c r="AD16" s="234">
        <f t="shared" si="26"/>
        <v>18.600000000000001</v>
      </c>
      <c r="AE16" s="234">
        <f t="shared" si="26"/>
        <v>17.8</v>
      </c>
      <c r="AH16" s="1035" t="str">
        <f>E16</f>
        <v>Nyttjanderättstillgångar</v>
      </c>
      <c r="AI16" s="1035"/>
      <c r="AJ16" s="1035"/>
      <c r="AK16" s="1099">
        <f t="shared" ref="AK16:AT18" si="68">H16</f>
        <v>33</v>
      </c>
      <c r="AL16" s="1099">
        <f t="shared" si="68"/>
        <v>26.7</v>
      </c>
      <c r="AM16" s="1099">
        <f t="shared" si="68"/>
        <v>24</v>
      </c>
      <c r="AN16" s="1099">
        <f t="shared" si="68"/>
        <v>22</v>
      </c>
      <c r="AO16" s="1099">
        <f t="shared" si="68"/>
        <v>21.8</v>
      </c>
      <c r="AP16" s="1099">
        <f t="shared" si="68"/>
        <v>18.600000000000001</v>
      </c>
      <c r="AQ16" s="1099">
        <f t="shared" si="68"/>
        <v>15.9</v>
      </c>
      <c r="AR16" s="1099">
        <f t="shared" si="68"/>
        <v>17.8</v>
      </c>
      <c r="AS16" s="1099">
        <f t="shared" si="68"/>
        <v>20.2</v>
      </c>
      <c r="AT16" s="1099">
        <f t="shared" si="68"/>
        <v>18.600000000000001</v>
      </c>
      <c r="AW16" s="1814" t="str">
        <f t="shared" si="18"/>
        <v>Nyttjanderättstillgångar</v>
      </c>
      <c r="AX16" s="1814"/>
      <c r="AY16" s="1805">
        <f t="shared" si="28"/>
        <v>0</v>
      </c>
      <c r="AZ16" s="1805">
        <f t="shared" si="29"/>
        <v>0</v>
      </c>
      <c r="BA16" s="1805">
        <f t="shared" si="30"/>
        <v>0</v>
      </c>
      <c r="BB16" s="1805">
        <f t="shared" si="31"/>
        <v>0</v>
      </c>
      <c r="BC16" s="1805">
        <f t="shared" si="32"/>
        <v>0</v>
      </c>
      <c r="BD16" s="1805">
        <f t="shared" si="33"/>
        <v>0</v>
      </c>
      <c r="BE16" s="1805">
        <f t="shared" si="34"/>
        <v>0</v>
      </c>
      <c r="BF16" s="1805">
        <f t="shared" si="35"/>
        <v>0</v>
      </c>
      <c r="BG16" s="1805">
        <f t="shared" si="36"/>
        <v>0</v>
      </c>
      <c r="BH16" s="1805">
        <f t="shared" si="37"/>
        <v>0</v>
      </c>
      <c r="BK16" s="1814" t="str">
        <f t="shared" si="38"/>
        <v>Nyttjanderättstillgångar</v>
      </c>
      <c r="BL16" s="1814"/>
      <c r="BM16" s="1805"/>
      <c r="BN16" s="1805">
        <f t="shared" si="52"/>
        <v>0</v>
      </c>
      <c r="BO16" s="1805">
        <f t="shared" si="53"/>
        <v>0</v>
      </c>
      <c r="BP16" s="1805">
        <f t="shared" si="54"/>
        <v>0</v>
      </c>
      <c r="BQ16" s="1805">
        <f t="shared" si="55"/>
        <v>0</v>
      </c>
      <c r="BR16" s="1805">
        <f t="shared" si="56"/>
        <v>0</v>
      </c>
      <c r="BS16" s="1805">
        <f t="shared" si="57"/>
        <v>0</v>
      </c>
      <c r="BT16" s="1805">
        <f t="shared" si="58"/>
        <v>0</v>
      </c>
      <c r="BU16" s="1805">
        <f t="shared" si="59"/>
        <v>0</v>
      </c>
      <c r="BV16" s="1805">
        <f t="shared" si="60"/>
        <v>0</v>
      </c>
      <c r="BY16" s="807" t="str">
        <f t="shared" si="23"/>
        <v>Nyttjanderättstillgångar</v>
      </c>
      <c r="BZ16" s="227">
        <f t="shared" si="40"/>
        <v>18.600000000000001</v>
      </c>
      <c r="CA16" s="234">
        <f t="shared" si="41"/>
        <v>18.600000000000001</v>
      </c>
      <c r="CB16" s="234">
        <f t="shared" si="42"/>
        <v>17.8</v>
      </c>
      <c r="CC16" s="888"/>
      <c r="CD16" s="888"/>
      <c r="CE16" s="888"/>
      <c r="CF16" s="807" t="str">
        <f>+[2]rapkvart!$A59</f>
        <v xml:space="preserve"> Right of use assets</v>
      </c>
      <c r="CG16" s="227">
        <f t="shared" si="61"/>
        <v>18.600000000000001</v>
      </c>
      <c r="CH16" s="234">
        <f t="shared" si="62"/>
        <v>18.600000000000001</v>
      </c>
      <c r="CI16" s="234">
        <f t="shared" si="63"/>
        <v>17.8</v>
      </c>
      <c r="CK16" s="888"/>
      <c r="CL16" s="807" t="str">
        <f t="shared" si="24"/>
        <v>Nyttjanderättstillgångar</v>
      </c>
      <c r="CM16" s="227">
        <f t="shared" si="43"/>
        <v>18.600000000000001</v>
      </c>
      <c r="CN16" s="1915"/>
      <c r="CO16" s="227">
        <f t="shared" si="44"/>
        <v>18.600000000000001</v>
      </c>
      <c r="CP16" s="962"/>
      <c r="CQ16" s="1114"/>
      <c r="CR16" s="807" t="s">
        <v>462</v>
      </c>
      <c r="CS16" s="227">
        <f t="shared" si="45"/>
        <v>18.600000000000001</v>
      </c>
      <c r="CT16" s="1915"/>
      <c r="CU16" s="227">
        <f t="shared" si="45"/>
        <v>18.600000000000001</v>
      </c>
      <c r="CW16" s="396"/>
    </row>
    <row r="17" spans="2:101" x14ac:dyDescent="0.15">
      <c r="B17" s="1803">
        <f t="shared" si="20"/>
        <v>0</v>
      </c>
      <c r="C17" s="426">
        <f t="shared" si="21"/>
        <v>9</v>
      </c>
      <c r="E17" s="1035" t="str">
        <f>+[2]rapkvart!B60</f>
        <v>Finansiella anläggningstillgångar</v>
      </c>
      <c r="F17" s="1035"/>
      <c r="G17" s="1035"/>
      <c r="H17" s="1100">
        <f>[2]rapkvart!S60</f>
        <v>0.8</v>
      </c>
      <c r="I17" s="1100">
        <f>[2]rapkvart!T60</f>
        <v>0.8</v>
      </c>
      <c r="J17" s="1100">
        <f>[2]rapkvart!U60</f>
        <v>0.8</v>
      </c>
      <c r="K17" s="1100">
        <f>[2]rapkvart!V60</f>
        <v>0.9</v>
      </c>
      <c r="L17" s="1100">
        <f>+[2]rapkvart!$O$60</f>
        <v>0.9</v>
      </c>
      <c r="M17" s="1100">
        <f>+[2]rapkvart!$P$60</f>
        <v>0.9</v>
      </c>
      <c r="N17" s="1100">
        <f>+[2]rapkvart!$Q$60</f>
        <v>0.9</v>
      </c>
      <c r="O17" s="1100">
        <f>+[2]rapkvart!$R$60</f>
        <v>0.2</v>
      </c>
      <c r="P17" s="1100">
        <f>+[2]rapkvart!$K$60</f>
        <v>0.2</v>
      </c>
      <c r="Q17" s="1100">
        <f>+[2]rapkvart!$L$60</f>
        <v>0.2</v>
      </c>
      <c r="R17" s="1100"/>
      <c r="S17" s="1100"/>
      <c r="U17" s="807" t="str">
        <f t="shared" si="22"/>
        <v>Finansiella anläggningstillgångar</v>
      </c>
      <c r="V17" s="230"/>
      <c r="W17" s="228">
        <f t="shared" si="46"/>
        <v>0.2</v>
      </c>
      <c r="X17" s="239">
        <f t="shared" si="47"/>
        <v>0.9</v>
      </c>
      <c r="Y17" s="239">
        <f t="shared" si="48"/>
        <v>0.2</v>
      </c>
      <c r="Z17" s="237"/>
      <c r="AA17" s="807" t="str">
        <f t="shared" si="25"/>
        <v xml:space="preserve"> Financial fixed assets</v>
      </c>
      <c r="AB17" s="230"/>
      <c r="AC17" s="228">
        <f t="shared" si="26"/>
        <v>0.2</v>
      </c>
      <c r="AD17" s="239">
        <f t="shared" si="26"/>
        <v>0.9</v>
      </c>
      <c r="AE17" s="239">
        <f t="shared" si="26"/>
        <v>0.2</v>
      </c>
      <c r="AH17" s="1035" t="str">
        <f>E17</f>
        <v>Finansiella anläggningstillgångar</v>
      </c>
      <c r="AI17" s="1035"/>
      <c r="AJ17" s="1035"/>
      <c r="AK17" s="1100">
        <f t="shared" si="68"/>
        <v>0.8</v>
      </c>
      <c r="AL17" s="1100">
        <f t="shared" si="68"/>
        <v>0.8</v>
      </c>
      <c r="AM17" s="1100">
        <f t="shared" si="68"/>
        <v>0.8</v>
      </c>
      <c r="AN17" s="1100">
        <f t="shared" si="68"/>
        <v>0.9</v>
      </c>
      <c r="AO17" s="1100">
        <f t="shared" si="68"/>
        <v>0.9</v>
      </c>
      <c r="AP17" s="1100">
        <f t="shared" si="68"/>
        <v>0.9</v>
      </c>
      <c r="AQ17" s="1100">
        <f t="shared" si="68"/>
        <v>0.9</v>
      </c>
      <c r="AR17" s="1100">
        <f t="shared" si="68"/>
        <v>0.2</v>
      </c>
      <c r="AS17" s="1100">
        <f t="shared" si="68"/>
        <v>0.2</v>
      </c>
      <c r="AT17" s="1100">
        <f t="shared" si="68"/>
        <v>0.2</v>
      </c>
      <c r="AW17" s="1814" t="str">
        <f t="shared" si="18"/>
        <v>Finansiella anläggningstillgångar</v>
      </c>
      <c r="AX17" s="1814"/>
      <c r="AY17" s="1806">
        <f t="shared" si="28"/>
        <v>0</v>
      </c>
      <c r="AZ17" s="1806">
        <f t="shared" si="29"/>
        <v>0</v>
      </c>
      <c r="BA17" s="1806">
        <f t="shared" si="30"/>
        <v>0</v>
      </c>
      <c r="BB17" s="1806">
        <f t="shared" si="31"/>
        <v>0</v>
      </c>
      <c r="BC17" s="1806">
        <f t="shared" si="32"/>
        <v>0</v>
      </c>
      <c r="BD17" s="1806">
        <f t="shared" si="33"/>
        <v>0</v>
      </c>
      <c r="BE17" s="1806">
        <f t="shared" si="34"/>
        <v>0</v>
      </c>
      <c r="BF17" s="1806">
        <f t="shared" si="35"/>
        <v>0</v>
      </c>
      <c r="BG17" s="1806">
        <f t="shared" si="36"/>
        <v>0</v>
      </c>
      <c r="BH17" s="1806">
        <f t="shared" si="37"/>
        <v>0</v>
      </c>
      <c r="BK17" s="1814" t="str">
        <f t="shared" si="38"/>
        <v>Finansiella anläggningstillgångar</v>
      </c>
      <c r="BL17" s="1814"/>
      <c r="BM17" s="1806"/>
      <c r="BN17" s="1806">
        <f t="shared" si="52"/>
        <v>0</v>
      </c>
      <c r="BO17" s="1806">
        <f t="shared" si="53"/>
        <v>0</v>
      </c>
      <c r="BP17" s="1806">
        <f t="shared" si="54"/>
        <v>0</v>
      </c>
      <c r="BQ17" s="1806">
        <f t="shared" si="55"/>
        <v>0</v>
      </c>
      <c r="BR17" s="1806">
        <f t="shared" si="56"/>
        <v>0</v>
      </c>
      <c r="BS17" s="1806">
        <f t="shared" si="57"/>
        <v>0</v>
      </c>
      <c r="BT17" s="1806">
        <f t="shared" si="58"/>
        <v>0</v>
      </c>
      <c r="BU17" s="1806">
        <f t="shared" si="59"/>
        <v>0</v>
      </c>
      <c r="BV17" s="1806">
        <f t="shared" si="60"/>
        <v>0</v>
      </c>
      <c r="BY17" s="807" t="str">
        <f t="shared" si="23"/>
        <v>Finansiella anläggningstillgångar</v>
      </c>
      <c r="BZ17" s="228">
        <f t="shared" si="40"/>
        <v>0.2</v>
      </c>
      <c r="CA17" s="239">
        <f t="shared" si="41"/>
        <v>0.9</v>
      </c>
      <c r="CB17" s="239">
        <f t="shared" si="42"/>
        <v>0.2</v>
      </c>
      <c r="CC17" s="888"/>
      <c r="CD17" s="888"/>
      <c r="CE17" s="888"/>
      <c r="CF17" s="807" t="str">
        <f>+[2]rapkvart!$A60</f>
        <v xml:space="preserve"> Financial fixed assets</v>
      </c>
      <c r="CG17" s="228">
        <f t="shared" si="61"/>
        <v>0.2</v>
      </c>
      <c r="CH17" s="239">
        <f t="shared" si="62"/>
        <v>0.9</v>
      </c>
      <c r="CI17" s="239">
        <f t="shared" si="63"/>
        <v>0.2</v>
      </c>
      <c r="CK17" s="888"/>
      <c r="CL17" s="807" t="str">
        <f t="shared" si="24"/>
        <v>Finansiella anläggningstillgångar</v>
      </c>
      <c r="CM17" s="228">
        <f t="shared" si="43"/>
        <v>0.2</v>
      </c>
      <c r="CN17" s="1916"/>
      <c r="CO17" s="228">
        <f t="shared" si="44"/>
        <v>0.2</v>
      </c>
      <c r="CP17" s="962"/>
      <c r="CQ17" s="1114"/>
      <c r="CR17" s="807" t="s">
        <v>463</v>
      </c>
      <c r="CS17" s="228">
        <f t="shared" si="45"/>
        <v>0.2</v>
      </c>
      <c r="CT17" s="1916"/>
      <c r="CU17" s="228">
        <f t="shared" si="45"/>
        <v>0.2</v>
      </c>
      <c r="CW17" s="396"/>
    </row>
    <row r="18" spans="2:101" ht="9.75" thickBot="1" x14ac:dyDescent="0.2">
      <c r="B18" s="1803">
        <f t="shared" si="20"/>
        <v>0</v>
      </c>
      <c r="C18" s="426">
        <f t="shared" si="21"/>
        <v>10</v>
      </c>
      <c r="E18" s="1036" t="str">
        <f>+[2]rapkvart!B61</f>
        <v>Uppskjuten skattefordran</v>
      </c>
      <c r="F18" s="1037"/>
      <c r="G18" s="1037"/>
      <c r="H18" s="1065">
        <f>[2]rapkvart!S61</f>
        <v>0.4</v>
      </c>
      <c r="I18" s="1065">
        <f>[2]rapkvart!T61</f>
        <v>0.4</v>
      </c>
      <c r="J18" s="1065">
        <f>[2]rapkvart!U61</f>
        <v>0.3</v>
      </c>
      <c r="K18" s="1065">
        <f>[2]rapkvart!V61</f>
        <v>0.4</v>
      </c>
      <c r="L18" s="1065">
        <f>+[2]rapkvart!$O$61</f>
        <v>0.3</v>
      </c>
      <c r="M18" s="1065">
        <f>+[2]rapkvart!$P$61</f>
        <v>0.3</v>
      </c>
      <c r="N18" s="1065">
        <f>+[2]rapkvart!$Q$61</f>
        <v>0.3</v>
      </c>
      <c r="O18" s="1065">
        <f>+[2]rapkvart!$R$61</f>
        <v>0.3</v>
      </c>
      <c r="P18" s="1065">
        <f>+[2]rapkvart!$K$61</f>
        <v>0.3</v>
      </c>
      <c r="Q18" s="1065">
        <f>+[2]rapkvart!$L$61</f>
        <v>0.4</v>
      </c>
      <c r="R18" s="1065"/>
      <c r="S18" s="1065"/>
      <c r="U18" s="1850" t="str">
        <f t="shared" si="22"/>
        <v>Uppskjuten skattefordran</v>
      </c>
      <c r="V18" s="1851"/>
      <c r="W18" s="1852">
        <f t="shared" si="46"/>
        <v>0.4</v>
      </c>
      <c r="X18" s="1853">
        <f t="shared" si="47"/>
        <v>0.3</v>
      </c>
      <c r="Y18" s="1853">
        <f t="shared" si="48"/>
        <v>0.3</v>
      </c>
      <c r="Z18" s="237"/>
      <c r="AA18" s="1850" t="str">
        <f t="shared" si="25"/>
        <v>Deferred tax assets</v>
      </c>
      <c r="AB18" s="1851"/>
      <c r="AC18" s="1852">
        <f t="shared" si="26"/>
        <v>0.4</v>
      </c>
      <c r="AD18" s="1853">
        <f t="shared" si="26"/>
        <v>0.3</v>
      </c>
      <c r="AE18" s="1853">
        <f t="shared" si="26"/>
        <v>0.3</v>
      </c>
      <c r="AH18" s="1036" t="str">
        <f>E18</f>
        <v>Uppskjuten skattefordran</v>
      </c>
      <c r="AI18" s="1036"/>
      <c r="AJ18" s="1036"/>
      <c r="AK18" s="1065">
        <f t="shared" si="68"/>
        <v>0.4</v>
      </c>
      <c r="AL18" s="1065">
        <f t="shared" si="68"/>
        <v>0.4</v>
      </c>
      <c r="AM18" s="1065">
        <f t="shared" si="68"/>
        <v>0.3</v>
      </c>
      <c r="AN18" s="1065">
        <f t="shared" si="68"/>
        <v>0.4</v>
      </c>
      <c r="AO18" s="1065">
        <f t="shared" si="68"/>
        <v>0.3</v>
      </c>
      <c r="AP18" s="1065">
        <f t="shared" si="68"/>
        <v>0.3</v>
      </c>
      <c r="AQ18" s="1065">
        <f t="shared" si="68"/>
        <v>0.3</v>
      </c>
      <c r="AR18" s="1065">
        <f t="shared" si="68"/>
        <v>0.3</v>
      </c>
      <c r="AS18" s="1065">
        <f t="shared" si="68"/>
        <v>0.3</v>
      </c>
      <c r="AT18" s="1065">
        <f t="shared" si="68"/>
        <v>0.4</v>
      </c>
      <c r="AW18" s="1816" t="str">
        <f t="shared" si="18"/>
        <v>Uppskjuten skattefordran</v>
      </c>
      <c r="AX18" s="1816"/>
      <c r="AY18" s="1807">
        <f t="shared" si="28"/>
        <v>0</v>
      </c>
      <c r="AZ18" s="1807">
        <f t="shared" si="29"/>
        <v>0</v>
      </c>
      <c r="BA18" s="1807">
        <f t="shared" si="30"/>
        <v>0</v>
      </c>
      <c r="BB18" s="1807">
        <f t="shared" si="31"/>
        <v>0</v>
      </c>
      <c r="BC18" s="1807">
        <f t="shared" si="32"/>
        <v>0</v>
      </c>
      <c r="BD18" s="1807">
        <f t="shared" si="33"/>
        <v>0</v>
      </c>
      <c r="BE18" s="1807">
        <f t="shared" si="34"/>
        <v>0</v>
      </c>
      <c r="BF18" s="1807">
        <f t="shared" si="35"/>
        <v>0</v>
      </c>
      <c r="BG18" s="1807">
        <f t="shared" si="36"/>
        <v>0</v>
      </c>
      <c r="BH18" s="1807">
        <f t="shared" si="37"/>
        <v>0</v>
      </c>
      <c r="BK18" s="1816" t="str">
        <f t="shared" si="38"/>
        <v>Uppskjuten skattefordran</v>
      </c>
      <c r="BL18" s="1816"/>
      <c r="BM18" s="1807"/>
      <c r="BN18" s="1807">
        <f t="shared" si="52"/>
        <v>0</v>
      </c>
      <c r="BO18" s="1807">
        <f t="shared" si="53"/>
        <v>0</v>
      </c>
      <c r="BP18" s="1807">
        <f t="shared" si="54"/>
        <v>0</v>
      </c>
      <c r="BQ18" s="1807">
        <f t="shared" si="55"/>
        <v>0</v>
      </c>
      <c r="BR18" s="1807">
        <f t="shared" si="56"/>
        <v>0</v>
      </c>
      <c r="BS18" s="1807">
        <f t="shared" si="57"/>
        <v>0</v>
      </c>
      <c r="BT18" s="1807">
        <f t="shared" si="58"/>
        <v>0</v>
      </c>
      <c r="BU18" s="1807">
        <f t="shared" si="59"/>
        <v>0</v>
      </c>
      <c r="BV18" s="1807">
        <f t="shared" si="60"/>
        <v>0</v>
      </c>
      <c r="BY18" s="1850" t="str">
        <f t="shared" si="23"/>
        <v>Uppskjuten skattefordran</v>
      </c>
      <c r="BZ18" s="1852">
        <f t="shared" si="40"/>
        <v>0.4</v>
      </c>
      <c r="CA18" s="1853">
        <f t="shared" si="41"/>
        <v>0.3</v>
      </c>
      <c r="CB18" s="1853">
        <f t="shared" si="42"/>
        <v>0.3</v>
      </c>
      <c r="CC18" s="888"/>
      <c r="CD18" s="888"/>
      <c r="CE18" s="888"/>
      <c r="CF18" s="1850" t="str">
        <f>+[2]rapkvart!$A61</f>
        <v>Deferred tax assets</v>
      </c>
      <c r="CG18" s="1852">
        <f t="shared" si="61"/>
        <v>0.4</v>
      </c>
      <c r="CH18" s="1853">
        <f t="shared" si="62"/>
        <v>0.3</v>
      </c>
      <c r="CI18" s="1853">
        <f t="shared" si="63"/>
        <v>0.3</v>
      </c>
      <c r="CK18" s="888"/>
      <c r="CL18" s="1850" t="str">
        <f t="shared" si="24"/>
        <v>Uppskjuten skattefordran</v>
      </c>
      <c r="CM18" s="1852">
        <f t="shared" si="43"/>
        <v>0.4</v>
      </c>
      <c r="CN18" s="1917"/>
      <c r="CO18" s="1852">
        <f t="shared" si="44"/>
        <v>0.4</v>
      </c>
      <c r="CP18" s="962"/>
      <c r="CQ18" s="1114"/>
      <c r="CR18" s="1850" t="s">
        <v>464</v>
      </c>
      <c r="CS18" s="1852">
        <f t="shared" si="45"/>
        <v>0.4</v>
      </c>
      <c r="CT18" s="1917"/>
      <c r="CU18" s="1852">
        <f t="shared" si="45"/>
        <v>0.4</v>
      </c>
      <c r="CW18" s="396"/>
    </row>
    <row r="19" spans="2:101" x14ac:dyDescent="0.15">
      <c r="B19" s="1803">
        <f t="shared" si="20"/>
        <v>0</v>
      </c>
      <c r="C19" s="426">
        <f t="shared" si="21"/>
        <v>11</v>
      </c>
      <c r="E19" s="416" t="str">
        <f>+[2]rapkvart!B62</f>
        <v>Summa anläggningstillgångar</v>
      </c>
      <c r="F19" s="1038"/>
      <c r="G19" s="1038"/>
      <c r="H19" s="1101">
        <f>[2]rapkvart!S62</f>
        <v>637.09999999999991</v>
      </c>
      <c r="I19" s="1101">
        <f>[2]rapkvart!T62</f>
        <v>625.5</v>
      </c>
      <c r="J19" s="1101">
        <f>[2]rapkvart!U62</f>
        <v>624.99999999999989</v>
      </c>
      <c r="K19" s="1101">
        <f>[2]rapkvart!V62</f>
        <v>620.4</v>
      </c>
      <c r="L19" s="1101">
        <f>+[2]rapkvart!$O$62</f>
        <v>616.79999999999984</v>
      </c>
      <c r="M19" s="1101">
        <f>+[2]rapkvart!$P$62</f>
        <v>616.5</v>
      </c>
      <c r="N19" s="1101">
        <f>+[2]rapkvart!$Q$62</f>
        <v>618.19999999999993</v>
      </c>
      <c r="O19" s="1101">
        <f>+[2]rapkvart!$R$62</f>
        <v>613.19999999999993</v>
      </c>
      <c r="P19" s="1101">
        <f>+[2]rapkvart!$K$62</f>
        <v>606.20000000000005</v>
      </c>
      <c r="Q19" s="1101">
        <f>+[2]rapkvart!$L$62</f>
        <v>595.6</v>
      </c>
      <c r="R19" s="1101"/>
      <c r="S19" s="1101"/>
      <c r="U19" s="768" t="str">
        <f t="shared" si="22"/>
        <v>Summa anläggningstillgångar</v>
      </c>
      <c r="V19" s="937"/>
      <c r="W19" s="229">
        <f t="shared" si="46"/>
        <v>595.6</v>
      </c>
      <c r="X19" s="235">
        <f t="shared" si="47"/>
        <v>616.5</v>
      </c>
      <c r="Y19" s="235">
        <f t="shared" si="48"/>
        <v>613.19999999999993</v>
      </c>
      <c r="Z19" s="235"/>
      <c r="AA19" s="768" t="str">
        <f t="shared" si="25"/>
        <v>Total fixed assets</v>
      </c>
      <c r="AB19" s="937"/>
      <c r="AC19" s="229">
        <f t="shared" si="26"/>
        <v>595.6</v>
      </c>
      <c r="AD19" s="235">
        <f t="shared" si="26"/>
        <v>616.5</v>
      </c>
      <c r="AE19" s="235">
        <f t="shared" si="26"/>
        <v>613.19999999999993</v>
      </c>
      <c r="AH19" s="416" t="str">
        <f>E19</f>
        <v>Summa anläggningstillgångar</v>
      </c>
      <c r="AI19" s="416"/>
      <c r="AJ19" s="416"/>
      <c r="AK19" s="1101">
        <f t="shared" ref="AK19" si="69">SUM(AK12,AK13,AK16:AK18)</f>
        <v>1519.2780666581546</v>
      </c>
      <c r="AL19" s="1101">
        <f t="shared" ref="AL19" si="70">SUM(AL12,AL13,AL16:AL18)</f>
        <v>1528.65204443877</v>
      </c>
      <c r="AM19" s="1101">
        <f t="shared" ref="AM19" si="71">SUM(AM12,AM13,AM16:AM18)</f>
        <v>1541.5260222193847</v>
      </c>
      <c r="AN19" s="1101">
        <f t="shared" ref="AN19" si="72">SUM(AN12,AN13,AN16:AN18)</f>
        <v>1555.4</v>
      </c>
      <c r="AO19" s="1101">
        <f t="shared" ref="AO19" si="73">SUM(AO12,AO13,AO16:AO18)</f>
        <v>1561.1</v>
      </c>
      <c r="AP19" s="1101">
        <f t="shared" ref="AP19" si="74">SUM(AP12,AP13,AP16:AP18)</f>
        <v>1563.8999999999999</v>
      </c>
      <c r="AQ19" s="1101">
        <f t="shared" ref="AQ19" si="75">SUM(AQ12,AQ13,AQ16:AQ18)</f>
        <v>1567.2</v>
      </c>
      <c r="AR19" s="1101">
        <f t="shared" ref="AR19" si="76">SUM(AR12,AR13,AR16:AR18)</f>
        <v>1574.3999999999999</v>
      </c>
      <c r="AS19" s="1101">
        <f t="shared" ref="AS19:AT19" si="77">SUM(AS12,AS13,AS16:AS18)</f>
        <v>1560.5579086286396</v>
      </c>
      <c r="AT19" s="1101">
        <f t="shared" si="77"/>
        <v>1581.3739894457833</v>
      </c>
      <c r="AW19" s="387" t="str">
        <f t="shared" si="18"/>
        <v>Summa anläggningstillgångar</v>
      </c>
      <c r="AX19" s="387"/>
      <c r="AY19" s="1309">
        <f t="shared" si="28"/>
        <v>882.17806665815465</v>
      </c>
      <c r="AZ19" s="1309">
        <f t="shared" si="29"/>
        <v>903.15204443876996</v>
      </c>
      <c r="BA19" s="1309">
        <f t="shared" si="30"/>
        <v>916.5260222193848</v>
      </c>
      <c r="BB19" s="1309">
        <f t="shared" si="31"/>
        <v>935.00000000000011</v>
      </c>
      <c r="BC19" s="1309">
        <f t="shared" si="32"/>
        <v>944.30000000000007</v>
      </c>
      <c r="BD19" s="1309">
        <f t="shared" si="33"/>
        <v>947.39999999999986</v>
      </c>
      <c r="BE19" s="1309">
        <f t="shared" si="34"/>
        <v>949.00000000000011</v>
      </c>
      <c r="BF19" s="1309">
        <f t="shared" si="35"/>
        <v>961.19999999999993</v>
      </c>
      <c r="BG19" s="1309">
        <f t="shared" si="36"/>
        <v>954.35790862863951</v>
      </c>
      <c r="BH19" s="1309">
        <f t="shared" si="37"/>
        <v>985.77398944578329</v>
      </c>
      <c r="BK19" s="387" t="str">
        <f t="shared" si="38"/>
        <v>Summa anläggningstillgångar</v>
      </c>
      <c r="BL19" s="387"/>
      <c r="BM19" s="1309"/>
      <c r="BN19" s="1309">
        <f t="shared" si="52"/>
        <v>20.973977780615314</v>
      </c>
      <c r="BO19" s="1309">
        <f t="shared" si="53"/>
        <v>13.373977780614837</v>
      </c>
      <c r="BP19" s="1309">
        <f t="shared" si="54"/>
        <v>18.473977780615314</v>
      </c>
      <c r="BQ19" s="1309">
        <f t="shared" si="55"/>
        <v>9.2999999999999545</v>
      </c>
      <c r="BR19" s="1309">
        <f t="shared" si="56"/>
        <v>3.0999999999997954</v>
      </c>
      <c r="BS19" s="1309">
        <f t="shared" si="57"/>
        <v>1.6000000000002501</v>
      </c>
      <c r="BT19" s="1309">
        <f t="shared" si="58"/>
        <v>12.199999999999818</v>
      </c>
      <c r="BU19" s="1309">
        <f t="shared" si="59"/>
        <v>-6.842091371360425</v>
      </c>
      <c r="BV19" s="1309">
        <f t="shared" si="60"/>
        <v>31.416080817143779</v>
      </c>
      <c r="BY19" s="768" t="str">
        <f t="shared" si="23"/>
        <v>Summa anläggningstillgångar</v>
      </c>
      <c r="BZ19" s="229">
        <f t="shared" si="40"/>
        <v>1581.3739894457833</v>
      </c>
      <c r="CA19" s="235">
        <f t="shared" si="41"/>
        <v>1563.8999999999999</v>
      </c>
      <c r="CB19" s="235">
        <f t="shared" si="42"/>
        <v>1574.3999999999999</v>
      </c>
      <c r="CC19" s="888"/>
      <c r="CD19" s="888"/>
      <c r="CE19" s="888"/>
      <c r="CF19" s="768" t="str">
        <f>+[2]rapkvart!$A62</f>
        <v>Total fixed assets</v>
      </c>
      <c r="CG19" s="229">
        <f t="shared" si="61"/>
        <v>1581.3739894457833</v>
      </c>
      <c r="CH19" s="235">
        <f t="shared" si="62"/>
        <v>1563.8999999999999</v>
      </c>
      <c r="CI19" s="235">
        <f t="shared" si="63"/>
        <v>1574.3999999999999</v>
      </c>
      <c r="CK19" s="888"/>
      <c r="CL19" s="768" t="str">
        <f t="shared" si="24"/>
        <v>Summa anläggningstillgångar</v>
      </c>
      <c r="CM19" s="229">
        <f t="shared" si="43"/>
        <v>595.6</v>
      </c>
      <c r="CN19" s="1209">
        <f t="shared" ref="CN19:CN41" si="78">CO19-CM19</f>
        <v>985.77398944578329</v>
      </c>
      <c r="CO19" s="229">
        <f t="shared" si="44"/>
        <v>1581.3739894457833</v>
      </c>
      <c r="CP19" s="962"/>
      <c r="CQ19" s="1114"/>
      <c r="CR19" s="768" t="s">
        <v>465</v>
      </c>
      <c r="CS19" s="229">
        <f t="shared" si="45"/>
        <v>595.6</v>
      </c>
      <c r="CT19" s="1209">
        <f t="shared" si="45"/>
        <v>985.77398944578329</v>
      </c>
      <c r="CU19" s="229">
        <f t="shared" si="45"/>
        <v>1581.3739894457833</v>
      </c>
      <c r="CW19" s="396"/>
    </row>
    <row r="20" spans="2:101" x14ac:dyDescent="0.15">
      <c r="B20" s="1803">
        <f t="shared" si="20"/>
        <v>0</v>
      </c>
      <c r="C20" s="426">
        <f t="shared" si="21"/>
        <v>12</v>
      </c>
      <c r="E20" s="1035"/>
      <c r="F20" s="1035"/>
      <c r="G20" s="1035"/>
      <c r="H20" s="963"/>
      <c r="I20" s="963"/>
      <c r="J20" s="963"/>
      <c r="K20" s="963"/>
      <c r="L20" s="963"/>
      <c r="M20" s="963"/>
      <c r="N20" s="963"/>
      <c r="O20" s="963"/>
      <c r="P20" s="963"/>
      <c r="Q20" s="963"/>
      <c r="R20" s="963"/>
      <c r="S20" s="963"/>
      <c r="U20" s="1882"/>
      <c r="V20" s="1883"/>
      <c r="W20" s="1884"/>
      <c r="X20" s="237"/>
      <c r="Y20" s="237"/>
      <c r="Z20" s="237"/>
      <c r="AA20" s="1882"/>
      <c r="AB20" s="1883"/>
      <c r="AC20" s="1884"/>
      <c r="AD20" s="237"/>
      <c r="AE20" s="237"/>
      <c r="AH20" s="806"/>
      <c r="AI20" s="811"/>
      <c r="AJ20" s="811"/>
      <c r="AK20" s="1103"/>
      <c r="AL20" s="1103"/>
      <c r="AM20" s="1103"/>
      <c r="AN20" s="1103"/>
      <c r="AO20" s="1103"/>
      <c r="AP20" s="1103"/>
      <c r="AQ20" s="1103"/>
      <c r="AR20" s="1103"/>
      <c r="AS20" s="1103"/>
      <c r="AT20" s="1103"/>
      <c r="AW20" s="1814"/>
      <c r="AX20" s="1814"/>
      <c r="AY20" s="1805"/>
      <c r="AZ20" s="1805"/>
      <c r="BA20" s="1805"/>
      <c r="BB20" s="1805"/>
      <c r="BC20" s="1805"/>
      <c r="BD20" s="1805"/>
      <c r="BE20" s="1805"/>
      <c r="BF20" s="1805"/>
      <c r="BG20" s="1805"/>
      <c r="BH20" s="1805"/>
      <c r="BK20" s="1814"/>
      <c r="BL20" s="1814"/>
      <c r="BM20" s="1805"/>
      <c r="BN20" s="1805"/>
      <c r="BO20" s="1805"/>
      <c r="BP20" s="1805"/>
      <c r="BQ20" s="1805"/>
      <c r="BR20" s="1805"/>
      <c r="BS20" s="1805"/>
      <c r="BT20" s="1805"/>
      <c r="BU20" s="1805"/>
      <c r="BV20" s="1805"/>
      <c r="BY20" s="1882"/>
      <c r="BZ20" s="1884"/>
      <c r="CA20" s="237"/>
      <c r="CB20" s="237"/>
      <c r="CC20" s="888"/>
      <c r="CD20" s="888"/>
      <c r="CE20" s="888"/>
      <c r="CF20" s="1882"/>
      <c r="CG20" s="1954"/>
      <c r="CH20" s="233"/>
      <c r="CI20" s="233"/>
      <c r="CK20" s="888"/>
      <c r="CL20" s="1882"/>
      <c r="CM20" s="1884"/>
      <c r="CN20" s="1918"/>
      <c r="CO20" s="1884"/>
      <c r="CP20" s="962"/>
      <c r="CQ20" s="1114"/>
      <c r="CR20" s="2313"/>
      <c r="CS20" s="1954"/>
      <c r="CT20" s="2314"/>
      <c r="CU20" s="1954"/>
      <c r="CW20" s="396"/>
    </row>
    <row r="21" spans="2:101" x14ac:dyDescent="0.15">
      <c r="B21" s="1803">
        <f t="shared" si="20"/>
        <v>0</v>
      </c>
      <c r="C21" s="426">
        <f t="shared" si="21"/>
        <v>13</v>
      </c>
      <c r="E21" s="1035" t="str">
        <f>+[2]rapkvart!B64</f>
        <v>Varulager</v>
      </c>
      <c r="F21" s="1035"/>
      <c r="G21" s="1035"/>
      <c r="H21" s="963">
        <f>[2]rapkvart!S64</f>
        <v>348.3</v>
      </c>
      <c r="I21" s="963">
        <f>[2]rapkvart!T64</f>
        <v>346.4</v>
      </c>
      <c r="J21" s="963">
        <f>[2]rapkvart!U64</f>
        <v>369.4</v>
      </c>
      <c r="K21" s="963">
        <f>[2]rapkvart!V64</f>
        <v>352.1</v>
      </c>
      <c r="L21" s="963">
        <f>+[2]rapkvart!$O$64</f>
        <v>371.2</v>
      </c>
      <c r="M21" s="963">
        <f>+[2]rapkvart!$P$64</f>
        <v>364.7</v>
      </c>
      <c r="N21" s="963">
        <f>+[2]rapkvart!$Q$64</f>
        <v>376.9</v>
      </c>
      <c r="O21" s="963">
        <f>+[2]rapkvart!$R$64</f>
        <v>361.6</v>
      </c>
      <c r="P21" s="963">
        <f>+[2]rapkvart!$K$64</f>
        <v>345.7</v>
      </c>
      <c r="Q21" s="963">
        <f>+[2]rapkvart!$L$64</f>
        <v>402.6</v>
      </c>
      <c r="R21" s="963"/>
      <c r="S21" s="963"/>
      <c r="U21" s="804" t="str">
        <f t="shared" si="22"/>
        <v>Varulager</v>
      </c>
      <c r="V21" s="935"/>
      <c r="W21" s="226">
        <f t="shared" ref="W21:W25" si="79">Q21</f>
        <v>402.6</v>
      </c>
      <c r="X21" s="220">
        <f t="shared" ref="X21:X25" si="80">M21</f>
        <v>364.7</v>
      </c>
      <c r="Y21" s="220">
        <f t="shared" si="48"/>
        <v>361.6</v>
      </c>
      <c r="Z21" s="237"/>
      <c r="AA21" s="804" t="str">
        <f t="shared" si="25"/>
        <v xml:space="preserve"> Inventories</v>
      </c>
      <c r="AB21" s="935"/>
      <c r="AC21" s="226">
        <f t="shared" ref="AC21:AE25" si="81">W21</f>
        <v>402.6</v>
      </c>
      <c r="AD21" s="220">
        <f t="shared" si="81"/>
        <v>364.7</v>
      </c>
      <c r="AE21" s="220">
        <f t="shared" si="81"/>
        <v>361.6</v>
      </c>
      <c r="AH21" s="1035" t="str">
        <f>E21</f>
        <v>Varulager</v>
      </c>
      <c r="AI21" s="1035"/>
      <c r="AJ21" s="1034"/>
      <c r="AK21" s="963">
        <f t="shared" ref="AK21:AT23" si="82">H21</f>
        <v>348.3</v>
      </c>
      <c r="AL21" s="963">
        <f t="shared" si="82"/>
        <v>346.4</v>
      </c>
      <c r="AM21" s="963">
        <f t="shared" si="82"/>
        <v>369.4</v>
      </c>
      <c r="AN21" s="963">
        <f t="shared" si="82"/>
        <v>352.1</v>
      </c>
      <c r="AO21" s="963">
        <f t="shared" si="82"/>
        <v>371.2</v>
      </c>
      <c r="AP21" s="963">
        <f t="shared" si="82"/>
        <v>364.7</v>
      </c>
      <c r="AQ21" s="963">
        <f t="shared" si="82"/>
        <v>376.9</v>
      </c>
      <c r="AR21" s="963">
        <f t="shared" si="82"/>
        <v>361.6</v>
      </c>
      <c r="AS21" s="963">
        <f t="shared" si="82"/>
        <v>345.7</v>
      </c>
      <c r="AT21" s="963">
        <f t="shared" si="82"/>
        <v>402.6</v>
      </c>
      <c r="AW21" s="1814" t="str">
        <f>E21</f>
        <v>Varulager</v>
      </c>
      <c r="AX21" s="1814"/>
      <c r="AY21" s="1805">
        <f t="shared" si="28"/>
        <v>0</v>
      </c>
      <c r="AZ21" s="1805">
        <f t="shared" si="29"/>
        <v>0</v>
      </c>
      <c r="BA21" s="1805">
        <f t="shared" si="30"/>
        <v>0</v>
      </c>
      <c r="BB21" s="1805">
        <f t="shared" si="31"/>
        <v>0</v>
      </c>
      <c r="BC21" s="1805">
        <f t="shared" si="32"/>
        <v>0</v>
      </c>
      <c r="BD21" s="1805">
        <f t="shared" si="33"/>
        <v>0</v>
      </c>
      <c r="BE21" s="1805">
        <f t="shared" si="34"/>
        <v>0</v>
      </c>
      <c r="BF21" s="1805">
        <f t="shared" si="35"/>
        <v>0</v>
      </c>
      <c r="BG21" s="1805">
        <f t="shared" si="36"/>
        <v>0</v>
      </c>
      <c r="BH21" s="1805">
        <f t="shared" si="37"/>
        <v>0</v>
      </c>
      <c r="BK21" s="1814" t="str">
        <f t="shared" si="38"/>
        <v>Varulager</v>
      </c>
      <c r="BL21" s="1814"/>
      <c r="BM21" s="1805"/>
      <c r="BN21" s="1805">
        <f t="shared" si="52"/>
        <v>0</v>
      </c>
      <c r="BO21" s="1805">
        <f t="shared" si="53"/>
        <v>0</v>
      </c>
      <c r="BP21" s="1805">
        <f t="shared" si="54"/>
        <v>0</v>
      </c>
      <c r="BQ21" s="1805">
        <f t="shared" si="55"/>
        <v>0</v>
      </c>
      <c r="BR21" s="1805">
        <f t="shared" si="56"/>
        <v>0</v>
      </c>
      <c r="BS21" s="1805">
        <f t="shared" si="57"/>
        <v>0</v>
      </c>
      <c r="BT21" s="1805">
        <f t="shared" si="58"/>
        <v>0</v>
      </c>
      <c r="BU21" s="1805">
        <f t="shared" si="59"/>
        <v>0</v>
      </c>
      <c r="BV21" s="1805">
        <f t="shared" si="60"/>
        <v>0</v>
      </c>
      <c r="BY21" s="804" t="str">
        <f>AH21</f>
        <v>Varulager</v>
      </c>
      <c r="BZ21" s="226">
        <f>AT21</f>
        <v>402.6</v>
      </c>
      <c r="CA21" s="220">
        <f>AP21</f>
        <v>364.7</v>
      </c>
      <c r="CB21" s="220">
        <f>AR21</f>
        <v>361.6</v>
      </c>
      <c r="CC21" s="888"/>
      <c r="CD21" s="888"/>
      <c r="CE21" s="888"/>
      <c r="CF21" s="804" t="str">
        <f>+[2]rapkvart!$A64</f>
        <v xml:space="preserve"> Inventories</v>
      </c>
      <c r="CG21" s="226">
        <f t="shared" si="61"/>
        <v>402.6</v>
      </c>
      <c r="CH21" s="220">
        <f t="shared" si="62"/>
        <v>364.7</v>
      </c>
      <c r="CI21" s="220">
        <f t="shared" si="63"/>
        <v>361.6</v>
      </c>
      <c r="CK21" s="888"/>
      <c r="CL21" s="804" t="str">
        <f>AH21</f>
        <v>Varulager</v>
      </c>
      <c r="CM21" s="226">
        <f>W21</f>
        <v>402.6</v>
      </c>
      <c r="CN21" s="1914"/>
      <c r="CO21" s="226">
        <f>BZ21</f>
        <v>402.6</v>
      </c>
      <c r="CP21" s="962"/>
      <c r="CQ21" s="1114"/>
      <c r="CR21" s="804" t="s">
        <v>466</v>
      </c>
      <c r="CS21" s="226">
        <f t="shared" ref="CS21:CU25" si="83">CM21</f>
        <v>402.6</v>
      </c>
      <c r="CT21" s="1914"/>
      <c r="CU21" s="226">
        <f t="shared" si="83"/>
        <v>402.6</v>
      </c>
      <c r="CW21" s="396"/>
    </row>
    <row r="22" spans="2:101" x14ac:dyDescent="0.15">
      <c r="B22" s="1803">
        <f t="shared" si="20"/>
        <v>0</v>
      </c>
      <c r="C22" s="426">
        <f t="shared" si="21"/>
        <v>14</v>
      </c>
      <c r="E22" s="1035" t="str">
        <f>+[2]rapkvart!B65</f>
        <v>Kortfristiga fordringar</v>
      </c>
      <c r="F22" s="1035">
        <f>+[2]rapkvart!$C$65</f>
        <v>5</v>
      </c>
      <c r="G22" s="1035"/>
      <c r="H22" s="1099">
        <f>[2]rapkvart!S65</f>
        <v>370.3</v>
      </c>
      <c r="I22" s="1099">
        <f>[2]rapkvart!T65</f>
        <v>377.5</v>
      </c>
      <c r="J22" s="1099">
        <f>[2]rapkvart!U65</f>
        <v>374.2</v>
      </c>
      <c r="K22" s="1099">
        <f>[2]rapkvart!V65</f>
        <v>316.7</v>
      </c>
      <c r="L22" s="1099">
        <f>+[2]rapkvart!$O$65</f>
        <v>426.8</v>
      </c>
      <c r="M22" s="1099">
        <f>+[2]rapkvart!$P$65</f>
        <v>453.6</v>
      </c>
      <c r="N22" s="1099">
        <f>+[2]rapkvart!$Q$65</f>
        <v>416.2</v>
      </c>
      <c r="O22" s="1099">
        <f>+[2]rapkvart!$R$65</f>
        <v>375.8</v>
      </c>
      <c r="P22" s="1099">
        <f>+[2]rapkvart!$K$65</f>
        <v>467.4</v>
      </c>
      <c r="Q22" s="1099">
        <f>+[2]rapkvart!$L$65</f>
        <v>465.3</v>
      </c>
      <c r="R22" s="1099"/>
      <c r="S22" s="1099"/>
      <c r="U22" s="807" t="str">
        <f t="shared" si="22"/>
        <v>Kortfristiga fordringar</v>
      </c>
      <c r="V22" s="230"/>
      <c r="W22" s="227">
        <f t="shared" si="79"/>
        <v>465.3</v>
      </c>
      <c r="X22" s="234">
        <f t="shared" si="80"/>
        <v>453.6</v>
      </c>
      <c r="Y22" s="234">
        <f t="shared" si="48"/>
        <v>375.8</v>
      </c>
      <c r="Z22" s="237"/>
      <c r="AA22" s="807" t="str">
        <f t="shared" si="25"/>
        <v xml:space="preserve"> Current receivables</v>
      </c>
      <c r="AB22" s="230"/>
      <c r="AC22" s="227">
        <f t="shared" si="81"/>
        <v>465.3</v>
      </c>
      <c r="AD22" s="234">
        <f t="shared" si="81"/>
        <v>453.6</v>
      </c>
      <c r="AE22" s="234">
        <f t="shared" si="81"/>
        <v>375.8</v>
      </c>
      <c r="AH22" s="1035" t="str">
        <f>E22</f>
        <v>Kortfristiga fordringar</v>
      </c>
      <c r="AI22" s="1035"/>
      <c r="AJ22" s="1035"/>
      <c r="AK22" s="1099">
        <f t="shared" si="82"/>
        <v>370.3</v>
      </c>
      <c r="AL22" s="1099">
        <f t="shared" si="82"/>
        <v>377.5</v>
      </c>
      <c r="AM22" s="1099">
        <f t="shared" si="82"/>
        <v>374.2</v>
      </c>
      <c r="AN22" s="1099">
        <f t="shared" si="82"/>
        <v>316.7</v>
      </c>
      <c r="AO22" s="1099">
        <f t="shared" si="82"/>
        <v>426.8</v>
      </c>
      <c r="AP22" s="1099">
        <f t="shared" si="82"/>
        <v>453.6</v>
      </c>
      <c r="AQ22" s="1099">
        <f t="shared" si="82"/>
        <v>416.2</v>
      </c>
      <c r="AR22" s="1099">
        <f t="shared" si="82"/>
        <v>375.8</v>
      </c>
      <c r="AS22" s="1099">
        <f t="shared" si="82"/>
        <v>467.4</v>
      </c>
      <c r="AT22" s="1099">
        <f t="shared" si="82"/>
        <v>465.3</v>
      </c>
      <c r="AV22" s="398"/>
      <c r="AW22" s="1814" t="str">
        <f>E22</f>
        <v>Kortfristiga fordringar</v>
      </c>
      <c r="AX22" s="1814"/>
      <c r="AY22" s="1805">
        <f t="shared" si="28"/>
        <v>0</v>
      </c>
      <c r="AZ22" s="1805">
        <f t="shared" si="29"/>
        <v>0</v>
      </c>
      <c r="BA22" s="1805">
        <f t="shared" si="30"/>
        <v>0</v>
      </c>
      <c r="BB22" s="1805">
        <f t="shared" si="31"/>
        <v>0</v>
      </c>
      <c r="BC22" s="1805">
        <f t="shared" si="32"/>
        <v>0</v>
      </c>
      <c r="BD22" s="1805">
        <f t="shared" si="33"/>
        <v>0</v>
      </c>
      <c r="BE22" s="1805">
        <f t="shared" si="34"/>
        <v>0</v>
      </c>
      <c r="BF22" s="1805">
        <f t="shared" si="35"/>
        <v>0</v>
      </c>
      <c r="BG22" s="1805">
        <f t="shared" si="36"/>
        <v>0</v>
      </c>
      <c r="BH22" s="1805">
        <f t="shared" si="37"/>
        <v>0</v>
      </c>
      <c r="BK22" s="1814" t="str">
        <f t="shared" si="38"/>
        <v>Kortfristiga fordringar</v>
      </c>
      <c r="BL22" s="1814"/>
      <c r="BM22" s="1805"/>
      <c r="BN22" s="1805">
        <f t="shared" si="52"/>
        <v>0</v>
      </c>
      <c r="BO22" s="1805">
        <f t="shared" si="53"/>
        <v>0</v>
      </c>
      <c r="BP22" s="1805">
        <f t="shared" si="54"/>
        <v>0</v>
      </c>
      <c r="BQ22" s="1805">
        <f t="shared" si="55"/>
        <v>0</v>
      </c>
      <c r="BR22" s="1805">
        <f t="shared" si="56"/>
        <v>0</v>
      </c>
      <c r="BS22" s="1805">
        <f t="shared" si="57"/>
        <v>0</v>
      </c>
      <c r="BT22" s="1805">
        <f t="shared" si="58"/>
        <v>0</v>
      </c>
      <c r="BU22" s="1805">
        <f t="shared" si="59"/>
        <v>0</v>
      </c>
      <c r="BV22" s="1805">
        <f t="shared" si="60"/>
        <v>0</v>
      </c>
      <c r="BY22" s="807" t="str">
        <f>AH22</f>
        <v>Kortfristiga fordringar</v>
      </c>
      <c r="BZ22" s="227">
        <f>AT22</f>
        <v>465.3</v>
      </c>
      <c r="CA22" s="234">
        <f>AP22</f>
        <v>453.6</v>
      </c>
      <c r="CB22" s="234">
        <f>AR22</f>
        <v>375.8</v>
      </c>
      <c r="CC22" s="888"/>
      <c r="CD22" s="888"/>
      <c r="CE22" s="888"/>
      <c r="CF22" s="807" t="str">
        <f>+[2]rapkvart!$A65</f>
        <v xml:space="preserve"> Current receivables</v>
      </c>
      <c r="CG22" s="227">
        <f t="shared" si="61"/>
        <v>465.3</v>
      </c>
      <c r="CH22" s="234">
        <f t="shared" si="62"/>
        <v>453.6</v>
      </c>
      <c r="CI22" s="234">
        <f t="shared" si="63"/>
        <v>375.8</v>
      </c>
      <c r="CK22" s="888"/>
      <c r="CL22" s="807" t="str">
        <f>AH22</f>
        <v>Kortfristiga fordringar</v>
      </c>
      <c r="CM22" s="227">
        <f>W22</f>
        <v>465.3</v>
      </c>
      <c r="CN22" s="1915"/>
      <c r="CO22" s="227">
        <f>BZ22</f>
        <v>465.3</v>
      </c>
      <c r="CP22" s="962"/>
      <c r="CQ22" s="1114"/>
      <c r="CR22" s="807" t="s">
        <v>467</v>
      </c>
      <c r="CS22" s="227">
        <f t="shared" si="83"/>
        <v>465.3</v>
      </c>
      <c r="CT22" s="1915"/>
      <c r="CU22" s="227">
        <f t="shared" si="83"/>
        <v>465.3</v>
      </c>
      <c r="CW22" s="396"/>
    </row>
    <row r="23" spans="2:101" x14ac:dyDescent="0.15">
      <c r="B23" s="1803">
        <f t="shared" si="20"/>
        <v>0</v>
      </c>
      <c r="C23" s="426">
        <f t="shared" si="21"/>
        <v>15</v>
      </c>
      <c r="E23" s="1035" t="str">
        <f>+[2]rapkvart!B66</f>
        <v>Likvida medel</v>
      </c>
      <c r="F23" s="1035"/>
      <c r="G23" s="1035"/>
      <c r="H23" s="1099">
        <f>[2]rapkvart!S66</f>
        <v>136.30000000000001</v>
      </c>
      <c r="I23" s="1099">
        <f>[2]rapkvart!T66</f>
        <v>141</v>
      </c>
      <c r="J23" s="1099">
        <f>[2]rapkvart!U66</f>
        <v>49.1</v>
      </c>
      <c r="K23" s="1099">
        <f>[2]rapkvart!V66</f>
        <v>68.7</v>
      </c>
      <c r="L23" s="1099">
        <f>+[2]rapkvart!$O$66</f>
        <v>49.9</v>
      </c>
      <c r="M23" s="1099">
        <f>+[2]rapkvart!$P$66</f>
        <v>38.5</v>
      </c>
      <c r="N23" s="1099">
        <f>+[2]rapkvart!$Q$66</f>
        <v>56.5</v>
      </c>
      <c r="O23" s="1099">
        <f>+[2]rapkvart!$R$66</f>
        <v>50</v>
      </c>
      <c r="P23" s="1099">
        <f>+[2]rapkvart!$K$66</f>
        <v>37</v>
      </c>
      <c r="Q23" s="1099">
        <f>+[2]rapkvart!$L$66</f>
        <v>14.7</v>
      </c>
      <c r="R23" s="1099"/>
      <c r="S23" s="1099"/>
      <c r="U23" s="807" t="str">
        <f t="shared" si="22"/>
        <v>Likvida medel</v>
      </c>
      <c r="V23" s="230"/>
      <c r="W23" s="227">
        <f t="shared" si="79"/>
        <v>14.7</v>
      </c>
      <c r="X23" s="234">
        <f t="shared" si="80"/>
        <v>38.5</v>
      </c>
      <c r="Y23" s="234">
        <f t="shared" si="48"/>
        <v>50</v>
      </c>
      <c r="Z23" s="237"/>
      <c r="AA23" s="807" t="str">
        <f t="shared" si="25"/>
        <v xml:space="preserve"> Liquid assets</v>
      </c>
      <c r="AB23" s="230"/>
      <c r="AC23" s="227">
        <f t="shared" si="81"/>
        <v>14.7</v>
      </c>
      <c r="AD23" s="234">
        <f t="shared" si="81"/>
        <v>38.5</v>
      </c>
      <c r="AE23" s="234">
        <f t="shared" si="81"/>
        <v>50</v>
      </c>
      <c r="AH23" s="1035" t="str">
        <f>E23</f>
        <v>Likvida medel</v>
      </c>
      <c r="AI23" s="1035"/>
      <c r="AJ23" s="1035"/>
      <c r="AK23" s="1099">
        <f t="shared" si="82"/>
        <v>136.30000000000001</v>
      </c>
      <c r="AL23" s="1099">
        <f t="shared" si="82"/>
        <v>141</v>
      </c>
      <c r="AM23" s="1099">
        <f t="shared" si="82"/>
        <v>49.1</v>
      </c>
      <c r="AN23" s="1099">
        <f t="shared" si="82"/>
        <v>68.7</v>
      </c>
      <c r="AO23" s="1099">
        <f t="shared" si="82"/>
        <v>49.9</v>
      </c>
      <c r="AP23" s="1099">
        <f t="shared" si="82"/>
        <v>38.5</v>
      </c>
      <c r="AQ23" s="1099">
        <f t="shared" si="82"/>
        <v>56.5</v>
      </c>
      <c r="AR23" s="1099">
        <f t="shared" si="82"/>
        <v>50</v>
      </c>
      <c r="AS23" s="1099">
        <f t="shared" si="82"/>
        <v>37</v>
      </c>
      <c r="AT23" s="1099">
        <f t="shared" si="82"/>
        <v>14.7</v>
      </c>
      <c r="AW23" s="1814" t="str">
        <f>E23</f>
        <v>Likvida medel</v>
      </c>
      <c r="AX23" s="1814"/>
      <c r="AY23" s="1805">
        <f t="shared" si="28"/>
        <v>0</v>
      </c>
      <c r="AZ23" s="1805">
        <f t="shared" si="29"/>
        <v>0</v>
      </c>
      <c r="BA23" s="1805">
        <f t="shared" si="30"/>
        <v>0</v>
      </c>
      <c r="BB23" s="1805">
        <f t="shared" si="31"/>
        <v>0</v>
      </c>
      <c r="BC23" s="1805">
        <f t="shared" si="32"/>
        <v>0</v>
      </c>
      <c r="BD23" s="1805">
        <f t="shared" si="33"/>
        <v>0</v>
      </c>
      <c r="BE23" s="1805">
        <f t="shared" si="34"/>
        <v>0</v>
      </c>
      <c r="BF23" s="1805">
        <f t="shared" si="35"/>
        <v>0</v>
      </c>
      <c r="BG23" s="1805">
        <f t="shared" si="36"/>
        <v>0</v>
      </c>
      <c r="BH23" s="1805">
        <f t="shared" si="37"/>
        <v>0</v>
      </c>
      <c r="BK23" s="1814" t="str">
        <f t="shared" si="38"/>
        <v>Likvida medel</v>
      </c>
      <c r="BL23" s="1814"/>
      <c r="BM23" s="1805"/>
      <c r="BN23" s="1805">
        <f t="shared" si="52"/>
        <v>0</v>
      </c>
      <c r="BO23" s="1805">
        <f t="shared" si="53"/>
        <v>0</v>
      </c>
      <c r="BP23" s="1805">
        <f t="shared" si="54"/>
        <v>0</v>
      </c>
      <c r="BQ23" s="1805">
        <f t="shared" si="55"/>
        <v>0</v>
      </c>
      <c r="BR23" s="1805">
        <f t="shared" si="56"/>
        <v>0</v>
      </c>
      <c r="BS23" s="1805">
        <f t="shared" si="57"/>
        <v>0</v>
      </c>
      <c r="BT23" s="1805">
        <f t="shared" si="58"/>
        <v>0</v>
      </c>
      <c r="BU23" s="1805">
        <f t="shared" si="59"/>
        <v>0</v>
      </c>
      <c r="BV23" s="1805">
        <f t="shared" si="60"/>
        <v>0</v>
      </c>
      <c r="BY23" s="807" t="str">
        <f>AH23</f>
        <v>Likvida medel</v>
      </c>
      <c r="BZ23" s="227">
        <f>AT23</f>
        <v>14.7</v>
      </c>
      <c r="CA23" s="234">
        <f>AP23</f>
        <v>38.5</v>
      </c>
      <c r="CB23" s="234">
        <f>AR23</f>
        <v>50</v>
      </c>
      <c r="CC23" s="888"/>
      <c r="CD23" s="888"/>
      <c r="CE23" s="888"/>
      <c r="CF23" s="807" t="str">
        <f>+[2]rapkvart!$A66</f>
        <v xml:space="preserve"> Liquid assets</v>
      </c>
      <c r="CG23" s="227">
        <f t="shared" si="61"/>
        <v>14.7</v>
      </c>
      <c r="CH23" s="234">
        <f t="shared" si="62"/>
        <v>38.5</v>
      </c>
      <c r="CI23" s="234">
        <f t="shared" si="63"/>
        <v>50</v>
      </c>
      <c r="CK23" s="888"/>
      <c r="CL23" s="807" t="str">
        <f>AH23</f>
        <v>Likvida medel</v>
      </c>
      <c r="CM23" s="227">
        <f>W23</f>
        <v>14.7</v>
      </c>
      <c r="CN23" s="1915"/>
      <c r="CO23" s="227">
        <f>BZ23</f>
        <v>14.7</v>
      </c>
      <c r="CP23" s="962"/>
      <c r="CQ23" s="1114"/>
      <c r="CR23" s="807" t="s">
        <v>468</v>
      </c>
      <c r="CS23" s="227">
        <f t="shared" si="83"/>
        <v>14.7</v>
      </c>
      <c r="CT23" s="1915"/>
      <c r="CU23" s="227">
        <f t="shared" si="83"/>
        <v>14.7</v>
      </c>
      <c r="CW23" s="396"/>
    </row>
    <row r="24" spans="2:101" ht="9.75" thickBot="1" x14ac:dyDescent="0.2">
      <c r="B24" s="1803">
        <f t="shared" si="20"/>
        <v>0</v>
      </c>
      <c r="C24" s="426">
        <f t="shared" si="21"/>
        <v>16</v>
      </c>
      <c r="E24" s="1039" t="str">
        <f>+[2]rapkvart!B67</f>
        <v>Summa omsättningstillgångar</v>
      </c>
      <c r="F24" s="1040"/>
      <c r="G24" s="1040"/>
      <c r="H24" s="1102">
        <f>[2]rapkvart!S67</f>
        <v>854.90000000000009</v>
      </c>
      <c r="I24" s="1102">
        <f>[2]rapkvart!T67</f>
        <v>864.9</v>
      </c>
      <c r="J24" s="1102">
        <f>[2]rapkvart!U67</f>
        <v>792.69999999999993</v>
      </c>
      <c r="K24" s="1102">
        <f>[2]rapkvart!V67</f>
        <v>737.5</v>
      </c>
      <c r="L24" s="1102">
        <f>+[2]rapkvart!$O$67</f>
        <v>847.9</v>
      </c>
      <c r="M24" s="1102">
        <f>+[2]rapkvart!$P$67</f>
        <v>856.8</v>
      </c>
      <c r="N24" s="1102">
        <f>+[2]rapkvart!$Q$67</f>
        <v>849.59999999999991</v>
      </c>
      <c r="O24" s="1102">
        <f>+[2]rapkvart!$R$67</f>
        <v>787.40000000000009</v>
      </c>
      <c r="P24" s="1102">
        <f>+[2]rapkvart!$K$67</f>
        <v>850.09999999999991</v>
      </c>
      <c r="Q24" s="1102">
        <f>+[2]rapkvart!$L$67</f>
        <v>882.60000000000014</v>
      </c>
      <c r="R24" s="1102"/>
      <c r="S24" s="1102"/>
      <c r="U24" s="1854" t="str">
        <f t="shared" si="22"/>
        <v>Summa omsättningstillgångar</v>
      </c>
      <c r="V24" s="1855"/>
      <c r="W24" s="1856">
        <f t="shared" si="79"/>
        <v>882.60000000000014</v>
      </c>
      <c r="X24" s="1857">
        <f t="shared" si="80"/>
        <v>856.8</v>
      </c>
      <c r="Y24" s="1857">
        <f t="shared" si="48"/>
        <v>787.40000000000009</v>
      </c>
      <c r="Z24" s="1211"/>
      <c r="AA24" s="1854" t="str">
        <f t="shared" si="25"/>
        <v>Total current assets</v>
      </c>
      <c r="AB24" s="1855"/>
      <c r="AC24" s="1856">
        <f t="shared" si="81"/>
        <v>882.60000000000014</v>
      </c>
      <c r="AD24" s="1857">
        <f t="shared" si="81"/>
        <v>856.8</v>
      </c>
      <c r="AE24" s="1857">
        <f t="shared" si="81"/>
        <v>787.40000000000009</v>
      </c>
      <c r="AH24" s="1039" t="str">
        <f>E24</f>
        <v>Summa omsättningstillgångar</v>
      </c>
      <c r="AI24" s="1039"/>
      <c r="AJ24" s="1039"/>
      <c r="AK24" s="1102">
        <f>SUM(AK21:AK23)</f>
        <v>854.90000000000009</v>
      </c>
      <c r="AL24" s="1102">
        <f t="shared" ref="AL24:AS24" si="84">SUM(AL21:AL23)</f>
        <v>864.9</v>
      </c>
      <c r="AM24" s="1102">
        <f t="shared" si="84"/>
        <v>792.69999999999993</v>
      </c>
      <c r="AN24" s="1102">
        <f t="shared" si="84"/>
        <v>737.5</v>
      </c>
      <c r="AO24" s="1102">
        <f t="shared" si="84"/>
        <v>847.9</v>
      </c>
      <c r="AP24" s="1102">
        <f t="shared" si="84"/>
        <v>856.8</v>
      </c>
      <c r="AQ24" s="1102">
        <f>SUM(AQ20:AQ23)</f>
        <v>849.59999999999991</v>
      </c>
      <c r="AR24" s="1102">
        <f t="shared" si="84"/>
        <v>787.40000000000009</v>
      </c>
      <c r="AS24" s="1102">
        <f t="shared" si="84"/>
        <v>850.09999999999991</v>
      </c>
      <c r="AT24" s="1102">
        <f t="shared" ref="AT24" si="85">SUM(AT21:AT23)</f>
        <v>882.60000000000014</v>
      </c>
      <c r="AW24" s="1817" t="str">
        <f>E24</f>
        <v>Summa omsättningstillgångar</v>
      </c>
      <c r="AX24" s="1817"/>
      <c r="AY24" s="1808">
        <f t="shared" si="28"/>
        <v>0</v>
      </c>
      <c r="AZ24" s="1808">
        <f t="shared" si="29"/>
        <v>0</v>
      </c>
      <c r="BA24" s="1808">
        <f t="shared" si="30"/>
        <v>0</v>
      </c>
      <c r="BB24" s="1808">
        <f t="shared" si="31"/>
        <v>0</v>
      </c>
      <c r="BC24" s="1808">
        <f t="shared" si="32"/>
        <v>0</v>
      </c>
      <c r="BD24" s="1808">
        <f t="shared" si="33"/>
        <v>0</v>
      </c>
      <c r="BE24" s="1808">
        <f t="shared" si="34"/>
        <v>0</v>
      </c>
      <c r="BF24" s="1808">
        <f t="shared" si="35"/>
        <v>0</v>
      </c>
      <c r="BG24" s="1808">
        <f t="shared" si="36"/>
        <v>0</v>
      </c>
      <c r="BH24" s="1808">
        <f t="shared" si="37"/>
        <v>0</v>
      </c>
      <c r="BK24" s="1817" t="str">
        <f t="shared" si="38"/>
        <v>Summa omsättningstillgångar</v>
      </c>
      <c r="BL24" s="1817"/>
      <c r="BM24" s="1808"/>
      <c r="BN24" s="1808">
        <f t="shared" si="52"/>
        <v>0</v>
      </c>
      <c r="BO24" s="1808">
        <f t="shared" si="53"/>
        <v>0</v>
      </c>
      <c r="BP24" s="1808">
        <f t="shared" si="54"/>
        <v>0</v>
      </c>
      <c r="BQ24" s="1808">
        <f t="shared" si="55"/>
        <v>0</v>
      </c>
      <c r="BR24" s="1808">
        <f t="shared" si="56"/>
        <v>0</v>
      </c>
      <c r="BS24" s="1808">
        <f t="shared" si="57"/>
        <v>0</v>
      </c>
      <c r="BT24" s="1808">
        <f t="shared" si="58"/>
        <v>0</v>
      </c>
      <c r="BU24" s="1808">
        <f t="shared" si="59"/>
        <v>0</v>
      </c>
      <c r="BV24" s="1808">
        <f t="shared" si="60"/>
        <v>0</v>
      </c>
      <c r="BY24" s="1854" t="str">
        <f>AH24</f>
        <v>Summa omsättningstillgångar</v>
      </c>
      <c r="BZ24" s="1856">
        <f>AT24</f>
        <v>882.60000000000014</v>
      </c>
      <c r="CA24" s="1857">
        <f>AP24</f>
        <v>856.8</v>
      </c>
      <c r="CB24" s="1857">
        <f>AR24</f>
        <v>787.40000000000009</v>
      </c>
      <c r="CC24" s="888"/>
      <c r="CD24" s="888"/>
      <c r="CE24" s="888"/>
      <c r="CF24" s="1854" t="str">
        <f>+[2]rapkvart!$A67</f>
        <v>Total current assets</v>
      </c>
      <c r="CG24" s="1856">
        <f t="shared" si="61"/>
        <v>882.60000000000014</v>
      </c>
      <c r="CH24" s="1857">
        <f t="shared" si="62"/>
        <v>856.8</v>
      </c>
      <c r="CI24" s="1857">
        <f t="shared" si="63"/>
        <v>787.40000000000009</v>
      </c>
      <c r="CK24" s="888"/>
      <c r="CL24" s="1854" t="str">
        <f>AH24</f>
        <v>Summa omsättningstillgångar</v>
      </c>
      <c r="CM24" s="1856">
        <f>W24</f>
        <v>882.60000000000014</v>
      </c>
      <c r="CN24" s="1919">
        <f t="shared" si="78"/>
        <v>0</v>
      </c>
      <c r="CO24" s="1856">
        <f>BZ24</f>
        <v>882.60000000000014</v>
      </c>
      <c r="CP24" s="962"/>
      <c r="CQ24" s="1114"/>
      <c r="CR24" s="1854" t="s">
        <v>469</v>
      </c>
      <c r="CS24" s="1856">
        <f t="shared" si="83"/>
        <v>882.60000000000014</v>
      </c>
      <c r="CT24" s="1919">
        <f t="shared" si="83"/>
        <v>0</v>
      </c>
      <c r="CU24" s="1856">
        <f t="shared" si="83"/>
        <v>882.60000000000014</v>
      </c>
      <c r="CW24" s="396"/>
    </row>
    <row r="25" spans="2:101" x14ac:dyDescent="0.15">
      <c r="B25" s="1803">
        <f t="shared" si="20"/>
        <v>0</v>
      </c>
      <c r="C25" s="426">
        <f t="shared" si="21"/>
        <v>17</v>
      </c>
      <c r="E25" s="417" t="str">
        <f>+[2]rapkvart!B68</f>
        <v>Summa tillgångar</v>
      </c>
      <c r="F25" s="815"/>
      <c r="G25" s="815"/>
      <c r="H25" s="1101">
        <f>[2]rapkvart!S68</f>
        <v>1492</v>
      </c>
      <c r="I25" s="1101">
        <f>[2]rapkvart!T68</f>
        <v>1490.4</v>
      </c>
      <c r="J25" s="1101">
        <f>[2]rapkvart!U68</f>
        <v>1417.6999999999998</v>
      </c>
      <c r="K25" s="1101">
        <f>[2]rapkvart!V68</f>
        <v>1357.9</v>
      </c>
      <c r="L25" s="1101">
        <f>+[2]rapkvart!$O$68</f>
        <v>1464.6999999999998</v>
      </c>
      <c r="M25" s="1101">
        <f>+[2]rapkvart!$P$68</f>
        <v>1473.3</v>
      </c>
      <c r="N25" s="1101">
        <f>+[2]rapkvart!$Q$68</f>
        <v>1467.7999999999997</v>
      </c>
      <c r="O25" s="1101">
        <f>+[2]rapkvart!$R$68</f>
        <v>1400.6</v>
      </c>
      <c r="P25" s="1101">
        <f>+[2]rapkvart!$K$68</f>
        <v>1456.3</v>
      </c>
      <c r="Q25" s="1101">
        <f>+[2]rapkvart!$L$68</f>
        <v>1478.2000000000003</v>
      </c>
      <c r="R25" s="1101"/>
      <c r="S25" s="1101"/>
      <c r="U25" s="257" t="str">
        <f t="shared" si="22"/>
        <v>Summa tillgångar</v>
      </c>
      <c r="V25" s="938"/>
      <c r="W25" s="229">
        <f t="shared" si="79"/>
        <v>1478.2000000000003</v>
      </c>
      <c r="X25" s="235">
        <f t="shared" si="80"/>
        <v>1473.3</v>
      </c>
      <c r="Y25" s="235">
        <f t="shared" si="48"/>
        <v>1400.6</v>
      </c>
      <c r="Z25" s="235"/>
      <c r="AA25" s="257" t="str">
        <f t="shared" si="25"/>
        <v>Total assets</v>
      </c>
      <c r="AB25" s="938"/>
      <c r="AC25" s="229">
        <f t="shared" si="81"/>
        <v>1478.2000000000003</v>
      </c>
      <c r="AD25" s="235">
        <f t="shared" si="81"/>
        <v>1473.3</v>
      </c>
      <c r="AE25" s="235">
        <f t="shared" si="81"/>
        <v>1400.6</v>
      </c>
      <c r="AH25" s="417" t="str">
        <f>E25</f>
        <v>Summa tillgångar</v>
      </c>
      <c r="AI25" s="417"/>
      <c r="AJ25" s="417"/>
      <c r="AK25" s="1101">
        <f t="shared" ref="AK25" si="86">AK24+AK19</f>
        <v>2374.1780666581544</v>
      </c>
      <c r="AL25" s="1101">
        <f t="shared" ref="AL25" si="87">AL24+AL19</f>
        <v>2393.5520444387698</v>
      </c>
      <c r="AM25" s="1101">
        <f t="shared" ref="AM25" si="88">AM24+AM19</f>
        <v>2334.2260222193845</v>
      </c>
      <c r="AN25" s="1101">
        <f t="shared" ref="AN25" si="89">AN24+AN19</f>
        <v>2292.9</v>
      </c>
      <c r="AO25" s="1101">
        <f t="shared" ref="AO25" si="90">AO24+AO19</f>
        <v>2409</v>
      </c>
      <c r="AP25" s="1101">
        <f t="shared" ref="AP25" si="91">AP24+AP19</f>
        <v>2420.6999999999998</v>
      </c>
      <c r="AQ25" s="1101">
        <f t="shared" ref="AQ25" si="92">AQ24+AQ19</f>
        <v>2416.8000000000002</v>
      </c>
      <c r="AR25" s="1101">
        <f t="shared" ref="AR25" si="93">AR24+AR19</f>
        <v>2361.8000000000002</v>
      </c>
      <c r="AS25" s="1101">
        <f t="shared" ref="AS25:AT25" si="94">AS24+AS19</f>
        <v>2410.6579086286392</v>
      </c>
      <c r="AT25" s="1101">
        <f t="shared" si="94"/>
        <v>2463.9739894457834</v>
      </c>
      <c r="AW25" s="343" t="str">
        <f>E25</f>
        <v>Summa tillgångar</v>
      </c>
      <c r="AX25" s="343"/>
      <c r="AY25" s="1309">
        <f t="shared" si="28"/>
        <v>882.17806665815442</v>
      </c>
      <c r="AZ25" s="1309">
        <f t="shared" si="29"/>
        <v>903.15204443876974</v>
      </c>
      <c r="BA25" s="1309">
        <f t="shared" si="30"/>
        <v>916.52602221938469</v>
      </c>
      <c r="BB25" s="1309">
        <f t="shared" si="31"/>
        <v>935</v>
      </c>
      <c r="BC25" s="1309">
        <f t="shared" si="32"/>
        <v>944.30000000000018</v>
      </c>
      <c r="BD25" s="1309">
        <f t="shared" si="33"/>
        <v>947.39999999999986</v>
      </c>
      <c r="BE25" s="1309">
        <f t="shared" si="34"/>
        <v>949.00000000000045</v>
      </c>
      <c r="BF25" s="1309">
        <f t="shared" si="35"/>
        <v>961.20000000000027</v>
      </c>
      <c r="BG25" s="1309">
        <f t="shared" si="36"/>
        <v>954.35790862863928</v>
      </c>
      <c r="BH25" s="1309">
        <f t="shared" si="37"/>
        <v>985.77398944578317</v>
      </c>
      <c r="BK25" s="343" t="str">
        <f t="shared" si="38"/>
        <v>Summa tillgångar</v>
      </c>
      <c r="BL25" s="343"/>
      <c r="BM25" s="1309"/>
      <c r="BN25" s="1309">
        <f t="shared" si="52"/>
        <v>20.973977780615314</v>
      </c>
      <c r="BO25" s="1309">
        <f t="shared" si="53"/>
        <v>13.37397778061495</v>
      </c>
      <c r="BP25" s="1309">
        <f t="shared" si="54"/>
        <v>18.473977780615314</v>
      </c>
      <c r="BQ25" s="1309">
        <f t="shared" si="55"/>
        <v>9.3000000000001819</v>
      </c>
      <c r="BR25" s="1309">
        <f t="shared" si="56"/>
        <v>3.0999999999996817</v>
      </c>
      <c r="BS25" s="1309">
        <f t="shared" si="57"/>
        <v>1.6000000000005912</v>
      </c>
      <c r="BT25" s="1309">
        <f t="shared" si="58"/>
        <v>12.199999999999818</v>
      </c>
      <c r="BU25" s="1309">
        <f t="shared" si="59"/>
        <v>-6.8420913713609934</v>
      </c>
      <c r="BV25" s="1309">
        <f t="shared" si="60"/>
        <v>31.416080817143893</v>
      </c>
      <c r="BY25" s="257" t="str">
        <f>AH25</f>
        <v>Summa tillgångar</v>
      </c>
      <c r="BZ25" s="229">
        <f>AT25</f>
        <v>2463.9739894457834</v>
      </c>
      <c r="CA25" s="235">
        <f>AP25</f>
        <v>2420.6999999999998</v>
      </c>
      <c r="CB25" s="235">
        <f>AR25</f>
        <v>2361.8000000000002</v>
      </c>
      <c r="CC25" s="888"/>
      <c r="CD25" s="888"/>
      <c r="CE25" s="888"/>
      <c r="CF25" s="257" t="str">
        <f>+[2]rapkvart!$A68</f>
        <v>Total assets</v>
      </c>
      <c r="CG25" s="229">
        <f t="shared" si="61"/>
        <v>2463.9739894457834</v>
      </c>
      <c r="CH25" s="235">
        <f t="shared" si="62"/>
        <v>2420.6999999999998</v>
      </c>
      <c r="CI25" s="235">
        <f t="shared" si="63"/>
        <v>2361.8000000000002</v>
      </c>
      <c r="CK25" s="888"/>
      <c r="CL25" s="257" t="str">
        <f>AH25</f>
        <v>Summa tillgångar</v>
      </c>
      <c r="CM25" s="229">
        <f>W25</f>
        <v>1478.2000000000003</v>
      </c>
      <c r="CN25" s="1209">
        <f t="shared" si="78"/>
        <v>985.77398944578317</v>
      </c>
      <c r="CO25" s="229">
        <f>BZ25</f>
        <v>2463.9739894457834</v>
      </c>
      <c r="CP25" s="962"/>
      <c r="CQ25" s="1114"/>
      <c r="CR25" s="257" t="s">
        <v>470</v>
      </c>
      <c r="CS25" s="229">
        <f t="shared" si="83"/>
        <v>1478.2000000000003</v>
      </c>
      <c r="CT25" s="1209">
        <f t="shared" si="83"/>
        <v>985.77398944578317</v>
      </c>
      <c r="CU25" s="229">
        <f t="shared" si="83"/>
        <v>2463.9739894457834</v>
      </c>
      <c r="CW25" s="396"/>
    </row>
    <row r="26" spans="2:101" x14ac:dyDescent="0.15">
      <c r="B26" s="1803">
        <f t="shared" si="20"/>
        <v>0</v>
      </c>
      <c r="C26" s="426">
        <f t="shared" si="21"/>
        <v>18</v>
      </c>
      <c r="E26" s="1035"/>
      <c r="F26" s="1035"/>
      <c r="G26" s="1035"/>
      <c r="H26" s="1297"/>
      <c r="I26" s="1297"/>
      <c r="J26" s="1297"/>
      <c r="K26" s="1297"/>
      <c r="L26" s="1297"/>
      <c r="M26" s="1297"/>
      <c r="N26" s="1297"/>
      <c r="O26" s="1297"/>
      <c r="P26" s="1297"/>
      <c r="Q26" s="1297"/>
      <c r="R26" s="1297"/>
      <c r="S26" s="1297"/>
      <c r="U26" s="1882"/>
      <c r="V26" s="1883"/>
      <c r="W26" s="1884"/>
      <c r="X26" s="237"/>
      <c r="Y26" s="237"/>
      <c r="Z26" s="233"/>
      <c r="AA26" s="1882"/>
      <c r="AB26" s="1883"/>
      <c r="AC26" s="1884"/>
      <c r="AD26" s="237"/>
      <c r="AE26" s="237"/>
      <c r="AH26" s="812"/>
      <c r="AI26" s="813"/>
      <c r="AJ26" s="813"/>
      <c r="AK26" s="211"/>
      <c r="AL26" s="211"/>
      <c r="AM26" s="211"/>
      <c r="AN26" s="211"/>
      <c r="AO26" s="211"/>
      <c r="AP26" s="211"/>
      <c r="AQ26" s="211"/>
      <c r="AR26" s="211"/>
      <c r="AS26" s="211"/>
      <c r="AT26" s="211"/>
      <c r="AW26" s="1814"/>
      <c r="AX26" s="1814"/>
      <c r="AY26" s="1805"/>
      <c r="AZ26" s="1805"/>
      <c r="BA26" s="1805"/>
      <c r="BB26" s="1805"/>
      <c r="BC26" s="1805"/>
      <c r="BD26" s="1805"/>
      <c r="BE26" s="1805"/>
      <c r="BF26" s="1805"/>
      <c r="BG26" s="1805"/>
      <c r="BH26" s="1805"/>
      <c r="BK26" s="1814"/>
      <c r="BL26" s="1814"/>
      <c r="BM26" s="1805"/>
      <c r="BN26" s="1805"/>
      <c r="BO26" s="1805"/>
      <c r="BP26" s="1805"/>
      <c r="BQ26" s="1805"/>
      <c r="BR26" s="1805"/>
      <c r="BS26" s="1805"/>
      <c r="BT26" s="1805"/>
      <c r="BU26" s="1805"/>
      <c r="BV26" s="1805"/>
      <c r="BY26" s="1882"/>
      <c r="BZ26" s="1884"/>
      <c r="CA26" s="237"/>
      <c r="CB26" s="237"/>
      <c r="CC26" s="888"/>
      <c r="CD26" s="888"/>
      <c r="CE26" s="888"/>
      <c r="CF26" s="1882"/>
      <c r="CG26" s="1954"/>
      <c r="CH26" s="233"/>
      <c r="CI26" s="233"/>
      <c r="CK26" s="888"/>
      <c r="CL26" s="1882"/>
      <c r="CM26" s="1884"/>
      <c r="CN26" s="1918"/>
      <c r="CO26" s="1884"/>
      <c r="CP26" s="962"/>
      <c r="CQ26" s="1114"/>
      <c r="CR26" s="2313"/>
      <c r="CS26" s="1954"/>
      <c r="CT26" s="2314"/>
      <c r="CU26" s="1954"/>
      <c r="CW26" s="396"/>
    </row>
    <row r="27" spans="2:101" x14ac:dyDescent="0.15">
      <c r="B27" s="1803">
        <f t="shared" si="20"/>
        <v>0</v>
      </c>
      <c r="C27" s="426">
        <f t="shared" si="21"/>
        <v>19</v>
      </c>
      <c r="E27" s="1298" t="str">
        <f>+[2]rapkvart!B70</f>
        <v>Eget kapital</v>
      </c>
      <c r="F27" s="1035"/>
      <c r="G27" s="1035"/>
      <c r="H27" s="963"/>
      <c r="I27" s="963"/>
      <c r="J27" s="963"/>
      <c r="K27" s="963"/>
      <c r="L27" s="963"/>
      <c r="M27" s="963"/>
      <c r="N27" s="963"/>
      <c r="O27" s="963"/>
      <c r="P27" s="963"/>
      <c r="Q27" s="963"/>
      <c r="R27" s="963"/>
      <c r="S27" s="963"/>
      <c r="U27" s="1889" t="str">
        <f t="shared" ref="U27:U32" si="95">E27</f>
        <v>Eget kapital</v>
      </c>
      <c r="V27" s="1883"/>
      <c r="W27" s="1884"/>
      <c r="X27" s="237"/>
      <c r="Y27" s="237"/>
      <c r="Z27" s="237"/>
      <c r="AA27" s="1889" t="str">
        <f t="shared" si="25"/>
        <v>Shareholders’ equity</v>
      </c>
      <c r="AB27" s="1883"/>
      <c r="AC27" s="1884"/>
      <c r="AD27" s="237"/>
      <c r="AE27" s="237"/>
      <c r="AH27" s="417" t="str">
        <f>E27</f>
        <v>Eget kapital</v>
      </c>
      <c r="AI27" s="815"/>
      <c r="AJ27" s="815"/>
      <c r="AK27" s="815"/>
      <c r="AL27" s="815"/>
      <c r="AM27" s="815"/>
      <c r="AN27" s="815"/>
      <c r="AO27" s="815"/>
      <c r="AP27" s="815"/>
      <c r="AQ27" s="815"/>
      <c r="AR27" s="815"/>
      <c r="AS27" s="815"/>
      <c r="AT27" s="815"/>
      <c r="AW27" s="1812" t="str">
        <f t="shared" ref="AW27:AW32" si="96">E27</f>
        <v>Eget kapital</v>
      </c>
      <c r="AX27" s="1812"/>
      <c r="AY27" s="1805">
        <f t="shared" si="28"/>
        <v>0</v>
      </c>
      <c r="AZ27" s="1805">
        <f t="shared" si="29"/>
        <v>0</v>
      </c>
      <c r="BA27" s="1805">
        <f t="shared" si="30"/>
        <v>0</v>
      </c>
      <c r="BB27" s="1805">
        <f t="shared" si="31"/>
        <v>0</v>
      </c>
      <c r="BC27" s="1805">
        <f t="shared" si="32"/>
        <v>0</v>
      </c>
      <c r="BD27" s="1805">
        <f t="shared" si="33"/>
        <v>0</v>
      </c>
      <c r="BE27" s="1805">
        <f t="shared" si="34"/>
        <v>0</v>
      </c>
      <c r="BF27" s="1805">
        <f t="shared" si="35"/>
        <v>0</v>
      </c>
      <c r="BG27" s="1805">
        <f t="shared" si="36"/>
        <v>0</v>
      </c>
      <c r="BH27" s="1805">
        <f t="shared" si="37"/>
        <v>0</v>
      </c>
      <c r="BK27" s="1812" t="str">
        <f t="shared" si="38"/>
        <v>Eget kapital</v>
      </c>
      <c r="BL27" s="1812"/>
      <c r="BM27" s="1805"/>
      <c r="BN27" s="1805">
        <f t="shared" si="52"/>
        <v>0</v>
      </c>
      <c r="BO27" s="1805">
        <f t="shared" si="53"/>
        <v>0</v>
      </c>
      <c r="BP27" s="1805">
        <f t="shared" si="54"/>
        <v>0</v>
      </c>
      <c r="BQ27" s="1805">
        <f t="shared" si="55"/>
        <v>0</v>
      </c>
      <c r="BR27" s="1805">
        <f t="shared" si="56"/>
        <v>0</v>
      </c>
      <c r="BS27" s="1805">
        <f t="shared" si="57"/>
        <v>0</v>
      </c>
      <c r="BT27" s="1805">
        <f t="shared" si="58"/>
        <v>0</v>
      </c>
      <c r="BU27" s="1805">
        <f t="shared" si="59"/>
        <v>0</v>
      </c>
      <c r="BV27" s="1805">
        <f t="shared" si="60"/>
        <v>0</v>
      </c>
      <c r="BY27" s="1889" t="str">
        <f t="shared" ref="BY27:BY32" si="97">AH27</f>
        <v>Eget kapital</v>
      </c>
      <c r="BZ27" s="1884"/>
      <c r="CA27" s="237"/>
      <c r="CB27" s="237"/>
      <c r="CC27" s="888"/>
      <c r="CD27" s="888"/>
      <c r="CE27" s="888"/>
      <c r="CF27" s="1889" t="str">
        <f>+[2]rapkvart!$A70</f>
        <v>Shareholders’ equity</v>
      </c>
      <c r="CG27" s="1954"/>
      <c r="CH27" s="233"/>
      <c r="CI27" s="233"/>
      <c r="CK27" s="888"/>
      <c r="CL27" s="1881" t="str">
        <f t="shared" ref="CL27:CL32" si="98">AH27</f>
        <v>Eget kapital</v>
      </c>
      <c r="CM27" s="226"/>
      <c r="CN27" s="1914"/>
      <c r="CO27" s="226"/>
      <c r="CP27" s="962"/>
      <c r="CQ27" s="1114"/>
      <c r="CR27" s="1881" t="s">
        <v>471</v>
      </c>
      <c r="CS27" s="226"/>
      <c r="CT27" s="1914"/>
      <c r="CU27" s="226"/>
      <c r="CW27" s="396"/>
    </row>
    <row r="28" spans="2:101" ht="9" customHeight="1" x14ac:dyDescent="0.15">
      <c r="B28" s="1803">
        <f t="shared" si="20"/>
        <v>0</v>
      </c>
      <c r="C28" s="426">
        <f t="shared" si="21"/>
        <v>20</v>
      </c>
      <c r="E28" s="1035" t="str">
        <f>+[2]rapkvart!B71</f>
        <v>Eget kapital hänförligt till moderbolagets aktieägare</v>
      </c>
      <c r="F28" s="1035"/>
      <c r="G28" s="1035"/>
      <c r="H28" s="963">
        <f>[2]rapkvart!S71</f>
        <v>626.5</v>
      </c>
      <c r="I28" s="963">
        <f>[2]rapkvart!T71</f>
        <v>627.4</v>
      </c>
      <c r="J28" s="963">
        <f>[2]rapkvart!U71</f>
        <v>648.9</v>
      </c>
      <c r="K28" s="963">
        <f>[2]rapkvart!V71</f>
        <v>657.59999999999991</v>
      </c>
      <c r="L28" s="963">
        <f>+[2]rapkvart!$O$71</f>
        <v>708.7</v>
      </c>
      <c r="M28" s="963">
        <f>+[2]rapkvart!$P$71</f>
        <v>681.69999999999993</v>
      </c>
      <c r="N28" s="963">
        <f>+[2]rapkvart!$Q$71</f>
        <v>699</v>
      </c>
      <c r="O28" s="963">
        <f>+[2]rapkvart!$R$71</f>
        <v>698.8</v>
      </c>
      <c r="P28" s="963">
        <f>+[2]rapkvart!$K$71</f>
        <v>722.5</v>
      </c>
      <c r="Q28" s="963">
        <f>+[2]rapkvart!$L$71</f>
        <v>794.7</v>
      </c>
      <c r="R28" s="963"/>
      <c r="S28" s="963"/>
      <c r="U28" s="804" t="str">
        <f t="shared" si="95"/>
        <v>Eget kapital hänförligt till moderbolagets aktieägare</v>
      </c>
      <c r="V28" s="935"/>
      <c r="W28" s="226">
        <f t="shared" ref="W28:W32" si="99">Q28</f>
        <v>794.7</v>
      </c>
      <c r="X28" s="220">
        <f t="shared" ref="X28:X32" si="100">M28</f>
        <v>681.69999999999993</v>
      </c>
      <c r="Y28" s="220">
        <f t="shared" ref="Y28:Y32" si="101">O28</f>
        <v>698.8</v>
      </c>
      <c r="Z28" s="237"/>
      <c r="AA28" s="804" t="str">
        <f t="shared" si="25"/>
        <v>Total equity attributable to the parent Company´s shareholders</v>
      </c>
      <c r="AB28" s="935"/>
      <c r="AC28" s="226">
        <f t="shared" ref="AC28:AE32" si="102">W28</f>
        <v>794.7</v>
      </c>
      <c r="AD28" s="220">
        <f t="shared" si="102"/>
        <v>681.69999999999993</v>
      </c>
      <c r="AE28" s="220">
        <f t="shared" si="102"/>
        <v>698.8</v>
      </c>
      <c r="AH28" s="805" t="str">
        <f>E28</f>
        <v>Eget kapital hänförligt till moderbolagets aktieägare</v>
      </c>
      <c r="AI28" s="805"/>
      <c r="AJ28" s="805"/>
      <c r="AK28" s="1377">
        <f t="shared" ref="AK28:AT28" si="103">H28+AK146</f>
        <v>1312.9250013457231</v>
      </c>
      <c r="AL28" s="1377">
        <f t="shared" si="103"/>
        <v>1330.1914870394157</v>
      </c>
      <c r="AM28" s="1377">
        <f t="shared" si="103"/>
        <v>1362.0595896053078</v>
      </c>
      <c r="AN28" s="1377">
        <f t="shared" si="103"/>
        <v>1385.1309896251598</v>
      </c>
      <c r="AO28" s="1377">
        <f t="shared" si="103"/>
        <v>1443.6189435326914</v>
      </c>
      <c r="AP28" s="1377">
        <f t="shared" si="103"/>
        <v>1418.9217061328227</v>
      </c>
      <c r="AQ28" s="1377">
        <f t="shared" si="103"/>
        <v>1437.5838647251003</v>
      </c>
      <c r="AR28" s="1377">
        <f t="shared" si="103"/>
        <v>1446.5621087588877</v>
      </c>
      <c r="AS28" s="1377">
        <f t="shared" si="103"/>
        <v>1465.072907202557</v>
      </c>
      <c r="AT28" s="1377">
        <f t="shared" si="103"/>
        <v>1561.7767750203129</v>
      </c>
      <c r="AW28" s="1813" t="str">
        <f t="shared" si="96"/>
        <v>Eget kapital hänförligt till moderbolagets aktieägare</v>
      </c>
      <c r="AX28" s="1813"/>
      <c r="AY28" s="1307">
        <f t="shared" si="28"/>
        <v>686.4250013457231</v>
      </c>
      <c r="AZ28" s="1307">
        <f t="shared" si="29"/>
        <v>702.79148703941576</v>
      </c>
      <c r="BA28" s="1307">
        <f t="shared" si="30"/>
        <v>713.15958960530781</v>
      </c>
      <c r="BB28" s="1307">
        <f t="shared" si="31"/>
        <v>727.53098962515992</v>
      </c>
      <c r="BC28" s="1307">
        <f t="shared" si="32"/>
        <v>734.9189435326914</v>
      </c>
      <c r="BD28" s="1307">
        <f t="shared" si="33"/>
        <v>737.22170613282276</v>
      </c>
      <c r="BE28" s="1307">
        <f t="shared" si="34"/>
        <v>738.58386472510028</v>
      </c>
      <c r="BF28" s="1307">
        <f t="shared" si="35"/>
        <v>747.76210875888773</v>
      </c>
      <c r="BG28" s="1307">
        <f t="shared" si="36"/>
        <v>742.57290720255696</v>
      </c>
      <c r="BH28" s="1307">
        <f t="shared" si="37"/>
        <v>767.07677502031288</v>
      </c>
      <c r="BK28" s="1813" t="str">
        <f t="shared" si="38"/>
        <v>Eget kapital hänförligt till moderbolagets aktieägare</v>
      </c>
      <c r="BL28" s="1813"/>
      <c r="BM28" s="1307"/>
      <c r="BN28" s="1307">
        <f t="shared" si="52"/>
        <v>16.366485693692653</v>
      </c>
      <c r="BO28" s="1307">
        <f t="shared" si="53"/>
        <v>10.368102565892059</v>
      </c>
      <c r="BP28" s="1307">
        <f t="shared" si="54"/>
        <v>14.371400019852103</v>
      </c>
      <c r="BQ28" s="1307">
        <f t="shared" si="55"/>
        <v>7.3879539075314824</v>
      </c>
      <c r="BR28" s="1307">
        <f t="shared" si="56"/>
        <v>2.3027626001313592</v>
      </c>
      <c r="BS28" s="1307">
        <f t="shared" si="57"/>
        <v>1.3621585922775239</v>
      </c>
      <c r="BT28" s="1307">
        <f t="shared" si="58"/>
        <v>9.1782440337874505</v>
      </c>
      <c r="BU28" s="1307">
        <f t="shared" si="59"/>
        <v>-5.1892015563307723</v>
      </c>
      <c r="BV28" s="1307">
        <f t="shared" si="60"/>
        <v>24.503867817755918</v>
      </c>
      <c r="BY28" s="804" t="str">
        <f t="shared" si="97"/>
        <v>Eget kapital hänförligt till moderbolagets aktieägare</v>
      </c>
      <c r="BZ28" s="226">
        <f>AT28</f>
        <v>1561.7767750203129</v>
      </c>
      <c r="CA28" s="220">
        <f>AP28</f>
        <v>1418.9217061328227</v>
      </c>
      <c r="CB28" s="220">
        <f>AR28</f>
        <v>1446.5621087588877</v>
      </c>
      <c r="CC28" s="888"/>
      <c r="CD28" s="888"/>
      <c r="CE28" s="888"/>
      <c r="CF28" s="804" t="str">
        <f>+[2]rapkvart!$A71</f>
        <v>Total equity attributable to the parent Company´s shareholders</v>
      </c>
      <c r="CG28" s="226">
        <f t="shared" si="61"/>
        <v>1561.7767750203129</v>
      </c>
      <c r="CH28" s="220">
        <f t="shared" si="62"/>
        <v>1418.9217061328227</v>
      </c>
      <c r="CI28" s="220">
        <f t="shared" ref="CI28:CI32" si="104">$CB28</f>
        <v>1446.5621087588877</v>
      </c>
      <c r="CK28" s="888"/>
      <c r="CL28" s="804" t="str">
        <f t="shared" si="98"/>
        <v>Eget kapital hänförligt till moderbolagets aktieägare</v>
      </c>
      <c r="CM28" s="226">
        <f>W28</f>
        <v>794.7</v>
      </c>
      <c r="CN28" s="1914">
        <f t="shared" si="78"/>
        <v>767.07677502031288</v>
      </c>
      <c r="CO28" s="226">
        <f>BZ28</f>
        <v>1561.7767750203129</v>
      </c>
      <c r="CP28" s="962"/>
      <c r="CQ28" s="1114"/>
      <c r="CR28" s="804" t="s">
        <v>472</v>
      </c>
      <c r="CS28" s="226">
        <f t="shared" ref="CS28:CU32" si="105">CM28</f>
        <v>794.7</v>
      </c>
      <c r="CT28" s="1914">
        <f t="shared" si="105"/>
        <v>767.07677502031288</v>
      </c>
      <c r="CU28" s="226">
        <f t="shared" si="105"/>
        <v>1561.7767750203129</v>
      </c>
      <c r="CW28" s="396"/>
    </row>
    <row r="29" spans="2:101" x14ac:dyDescent="0.15">
      <c r="B29" s="1803">
        <f t="shared" si="20"/>
        <v>0</v>
      </c>
      <c r="C29" s="426">
        <f t="shared" si="21"/>
        <v>21</v>
      </c>
      <c r="E29" s="808" t="str">
        <f>AH29</f>
        <v>varav årets totalresultat hänförligt till moderbolagets aktieägare</v>
      </c>
      <c r="F29" s="808"/>
      <c r="G29" s="816"/>
      <c r="H29" s="222">
        <f>H53</f>
        <v>24.200000000000042</v>
      </c>
      <c r="I29" s="222">
        <f t="shared" ref="I29:Q29" si="106">I53</f>
        <v>66.100000000000108</v>
      </c>
      <c r="J29" s="222">
        <f t="shared" si="106"/>
        <v>87.599999999999895</v>
      </c>
      <c r="K29" s="222">
        <f t="shared" si="106"/>
        <v>96.300000000000139</v>
      </c>
      <c r="L29" s="222">
        <f t="shared" si="106"/>
        <v>51.400000000000063</v>
      </c>
      <c r="M29" s="222">
        <f t="shared" si="106"/>
        <v>61.799999999999926</v>
      </c>
      <c r="N29" s="222">
        <f t="shared" si="106"/>
        <v>79.40000000000002</v>
      </c>
      <c r="O29" s="222">
        <f t="shared" si="106"/>
        <v>78.100000000000122</v>
      </c>
      <c r="P29" s="222">
        <f t="shared" si="106"/>
        <v>29.999999999999986</v>
      </c>
      <c r="Q29" s="222">
        <f t="shared" si="106"/>
        <v>96.700000000000045</v>
      </c>
      <c r="R29" s="222"/>
      <c r="S29" s="222"/>
      <c r="U29" s="809" t="str">
        <f t="shared" si="95"/>
        <v>varav årets totalresultat hänförligt till moderbolagets aktieägare</v>
      </c>
      <c r="V29" s="936"/>
      <c r="W29" s="231">
        <f t="shared" si="99"/>
        <v>96.700000000000045</v>
      </c>
      <c r="X29" s="236">
        <f t="shared" si="100"/>
        <v>61.799999999999926</v>
      </c>
      <c r="Y29" s="236">
        <f t="shared" si="101"/>
        <v>78.100000000000122</v>
      </c>
      <c r="Z29" s="1210"/>
      <c r="AA29" s="809" t="str">
        <f t="shared" si="25"/>
        <v>of which total comprehensive income for the period attributable to owners of the parent</v>
      </c>
      <c r="AB29" s="936"/>
      <c r="AC29" s="231">
        <f t="shared" si="102"/>
        <v>96.700000000000045</v>
      </c>
      <c r="AD29" s="236">
        <f t="shared" si="102"/>
        <v>61.799999999999926</v>
      </c>
      <c r="AE29" s="236">
        <f t="shared" si="102"/>
        <v>78.100000000000122</v>
      </c>
      <c r="AH29" s="808" t="s">
        <v>473</v>
      </c>
      <c r="AI29" s="808"/>
      <c r="AJ29" s="1376"/>
      <c r="AK29" s="222">
        <f>'Koncern RR '!CK55</f>
        <v>5.6971850000000135</v>
      </c>
      <c r="AL29" s="222">
        <f>'Koncern RR '!CL55</f>
        <v>23.89678500000004</v>
      </c>
      <c r="AM29" s="222">
        <f>'Koncern RR '!CM55</f>
        <v>3.0719849999998567</v>
      </c>
      <c r="AN29" s="222">
        <f>'Koncern RR '!CN55</f>
        <v>-5.0900149999998172</v>
      </c>
      <c r="AO29" s="222">
        <f>'Koncern RR '!CO55</f>
        <v>32.467350000000053</v>
      </c>
      <c r="AP29" s="222">
        <f>'Koncern RR '!CP55</f>
        <v>-6.604250000000162</v>
      </c>
      <c r="AQ29" s="222">
        <f>'Koncern RR '!CQ55</f>
        <v>-4.5768499999999364</v>
      </c>
      <c r="AR29" s="222">
        <f>'Koncern RR '!CR55</f>
        <v>-18.497049999999909</v>
      </c>
      <c r="AS29" s="222">
        <f>'Koncern RR '!CS55</f>
        <v>11.34409025199998</v>
      </c>
      <c r="AT29" s="222">
        <f>'Koncern RR '!CT55</f>
        <v>45.936047664000093</v>
      </c>
      <c r="AW29" s="1815" t="str">
        <f t="shared" si="96"/>
        <v>varav årets totalresultat hänförligt till moderbolagets aktieägare</v>
      </c>
      <c r="AX29" s="1815"/>
      <c r="AY29" s="1809">
        <f t="shared" si="28"/>
        <v>-18.502815000000027</v>
      </c>
      <c r="AZ29" s="1809">
        <f t="shared" si="29"/>
        <v>-42.203215000000071</v>
      </c>
      <c r="BA29" s="1809">
        <f t="shared" si="30"/>
        <v>-84.528015000000039</v>
      </c>
      <c r="BB29" s="1809">
        <f t="shared" si="31"/>
        <v>-101.39001499999996</v>
      </c>
      <c r="BC29" s="1809">
        <f t="shared" si="32"/>
        <v>-18.93265000000001</v>
      </c>
      <c r="BD29" s="1809">
        <f t="shared" si="33"/>
        <v>-68.40425000000009</v>
      </c>
      <c r="BE29" s="1809">
        <f t="shared" si="34"/>
        <v>-83.976849999999956</v>
      </c>
      <c r="BF29" s="1809">
        <f t="shared" si="35"/>
        <v>-96.597050000000024</v>
      </c>
      <c r="BG29" s="1809">
        <f t="shared" si="36"/>
        <v>-18.655909748000006</v>
      </c>
      <c r="BH29" s="1809">
        <f t="shared" si="37"/>
        <v>-50.763952335999953</v>
      </c>
      <c r="BK29" s="1815" t="str">
        <f t="shared" si="38"/>
        <v>varav årets totalresultat hänförligt till moderbolagets aktieägare</v>
      </c>
      <c r="BL29" s="1815"/>
      <c r="BM29" s="1809"/>
      <c r="BN29" s="1809">
        <f t="shared" si="52"/>
        <v>-23.700400000000045</v>
      </c>
      <c r="BO29" s="1809">
        <f t="shared" si="53"/>
        <v>-42.324799999999968</v>
      </c>
      <c r="BP29" s="1809">
        <f>BB29-BA29</f>
        <v>-16.861999999999924</v>
      </c>
      <c r="BQ29" s="1809">
        <f t="shared" si="55"/>
        <v>82.457364999999953</v>
      </c>
      <c r="BR29" s="1809">
        <f t="shared" si="56"/>
        <v>-49.47160000000008</v>
      </c>
      <c r="BS29" s="1809">
        <f t="shared" si="57"/>
        <v>-15.572599999999866</v>
      </c>
      <c r="BT29" s="1809">
        <f t="shared" si="58"/>
        <v>-12.620200000000068</v>
      </c>
      <c r="BU29" s="1809">
        <f t="shared" si="59"/>
        <v>77.941140252000025</v>
      </c>
      <c r="BV29" s="1809">
        <f t="shared" si="60"/>
        <v>-32.108042587999947</v>
      </c>
      <c r="BY29" s="809" t="str">
        <f t="shared" si="97"/>
        <v>varav årets totalresultat hänförligt till moderbolagets aktieägare</v>
      </c>
      <c r="BZ29" s="231">
        <f>AT29</f>
        <v>45.936047664000093</v>
      </c>
      <c r="CA29" s="1920">
        <f>AP29</f>
        <v>-6.604250000000162</v>
      </c>
      <c r="CB29" s="1920">
        <f>AR29</f>
        <v>-18.497049999999909</v>
      </c>
      <c r="CC29" s="888"/>
      <c r="CD29" s="888"/>
      <c r="CE29" s="888"/>
      <c r="CF29" s="809" t="s">
        <v>474</v>
      </c>
      <c r="CG29" s="231">
        <f t="shared" si="61"/>
        <v>45.936047664000093</v>
      </c>
      <c r="CH29" s="1920">
        <f t="shared" si="62"/>
        <v>-6.604250000000162</v>
      </c>
      <c r="CI29" s="1920">
        <f t="shared" si="104"/>
        <v>-18.497049999999909</v>
      </c>
      <c r="CK29" s="888"/>
      <c r="CL29" s="809" t="str">
        <f t="shared" si="98"/>
        <v>varav årets totalresultat hänförligt till moderbolagets aktieägare</v>
      </c>
      <c r="CM29" s="231">
        <f>W29</f>
        <v>96.700000000000045</v>
      </c>
      <c r="CN29" s="1920">
        <f>CO29-CM29</f>
        <v>-50.763952335999953</v>
      </c>
      <c r="CO29" s="231">
        <f>BZ29</f>
        <v>45.936047664000093</v>
      </c>
      <c r="CP29" s="962"/>
      <c r="CQ29" s="1114"/>
      <c r="CR29" s="809" t="s">
        <v>474</v>
      </c>
      <c r="CS29" s="231">
        <f t="shared" si="105"/>
        <v>96.700000000000045</v>
      </c>
      <c r="CT29" s="1920">
        <f t="shared" si="105"/>
        <v>-50.763952335999953</v>
      </c>
      <c r="CU29" s="231">
        <f t="shared" si="105"/>
        <v>45.936047664000093</v>
      </c>
      <c r="CW29" s="396"/>
    </row>
    <row r="30" spans="2:101" x14ac:dyDescent="0.15">
      <c r="B30" s="1803">
        <f t="shared" si="20"/>
        <v>0</v>
      </c>
      <c r="C30" s="426">
        <f t="shared" si="21"/>
        <v>22</v>
      </c>
      <c r="E30" s="1035" t="str">
        <f>+[2]rapkvart!B72</f>
        <v>Innehav utan bestämmande inflytande</v>
      </c>
      <c r="F30" s="1041"/>
      <c r="G30" s="1042"/>
      <c r="H30" s="1062">
        <f>[2]rapkvart!S72</f>
        <v>15.3</v>
      </c>
      <c r="I30" s="1062">
        <f>[2]rapkvart!T72</f>
        <v>21.5</v>
      </c>
      <c r="J30" s="1062">
        <f>[2]rapkvart!U72</f>
        <v>16.7</v>
      </c>
      <c r="K30" s="1062">
        <f>[2]rapkvart!V72</f>
        <v>16.7</v>
      </c>
      <c r="L30" s="1062">
        <f>+[2]rapkvart!$O$72</f>
        <v>13.4</v>
      </c>
      <c r="M30" s="1062">
        <f>+[2]rapkvart!$P$72</f>
        <v>15.2</v>
      </c>
      <c r="N30" s="1062">
        <f>+[2]rapkvart!$Q$72</f>
        <v>16.3</v>
      </c>
      <c r="O30" s="1062">
        <f>+[2]rapkvart!$R$72</f>
        <v>16</v>
      </c>
      <c r="P30" s="1062">
        <f>+[2]rapkvart!$K$72</f>
        <v>14.8</v>
      </c>
      <c r="Q30" s="1062">
        <f>+[2]rapkvart!$L$72</f>
        <v>10.8</v>
      </c>
      <c r="R30" s="1062"/>
      <c r="S30" s="1062"/>
      <c r="U30" s="807" t="str">
        <f t="shared" si="95"/>
        <v>Innehav utan bestämmande inflytande</v>
      </c>
      <c r="V30" s="230"/>
      <c r="W30" s="226">
        <f t="shared" si="99"/>
        <v>10.8</v>
      </c>
      <c r="X30" s="220">
        <f t="shared" si="100"/>
        <v>15.2</v>
      </c>
      <c r="Y30" s="220">
        <f t="shared" si="101"/>
        <v>16</v>
      </c>
      <c r="Z30" s="237"/>
      <c r="AA30" s="807" t="str">
        <f t="shared" si="25"/>
        <v>Non-controlling interests</v>
      </c>
      <c r="AB30" s="230"/>
      <c r="AC30" s="226">
        <f t="shared" si="102"/>
        <v>10.8</v>
      </c>
      <c r="AD30" s="220">
        <f t="shared" si="102"/>
        <v>15.2</v>
      </c>
      <c r="AE30" s="220">
        <f t="shared" si="102"/>
        <v>16</v>
      </c>
      <c r="AH30" s="805" t="str">
        <f>E30</f>
        <v>Innehav utan bestämmande inflytande</v>
      </c>
      <c r="AI30" s="805"/>
      <c r="AJ30" s="810"/>
      <c r="AK30" s="1358">
        <f t="shared" ref="AK30:AT30" si="107">H30+AK147</f>
        <v>29.308673496851497</v>
      </c>
      <c r="AL30" s="1358">
        <f t="shared" si="107"/>
        <v>35.842683408967666</v>
      </c>
      <c r="AM30" s="1358">
        <f>J30+AM147</f>
        <v>31.254277338883831</v>
      </c>
      <c r="AN30" s="1358">
        <f t="shared" si="107"/>
        <v>31.547571216839998</v>
      </c>
      <c r="AO30" s="1358">
        <f t="shared" si="107"/>
        <v>28.398345786381462</v>
      </c>
      <c r="AP30" s="1358">
        <f t="shared" si="107"/>
        <v>30.245340941486177</v>
      </c>
      <c r="AQ30" s="1358">
        <f t="shared" si="107"/>
        <v>31.373140096430618</v>
      </c>
      <c r="AR30" s="1358">
        <f t="shared" si="107"/>
        <v>31.260451199160975</v>
      </c>
      <c r="AS30" s="1358">
        <f t="shared" si="107"/>
        <v>29.954549126582798</v>
      </c>
      <c r="AT30" s="1358">
        <f t="shared" si="107"/>
        <v>26.454628061639042</v>
      </c>
      <c r="AW30" s="1814" t="str">
        <f t="shared" si="96"/>
        <v>Innehav utan bestämmande inflytande</v>
      </c>
      <c r="AX30" s="1814"/>
      <c r="AY30" s="1307">
        <f t="shared" si="28"/>
        <v>14.008673496851497</v>
      </c>
      <c r="AZ30" s="1307">
        <f t="shared" si="29"/>
        <v>14.342683408967666</v>
      </c>
      <c r="BA30" s="1307">
        <f t="shared" si="30"/>
        <v>14.554277338883832</v>
      </c>
      <c r="BB30" s="1307">
        <f t="shared" si="31"/>
        <v>14.847571216839999</v>
      </c>
      <c r="BC30" s="1307">
        <f t="shared" si="32"/>
        <v>14.998345786381462</v>
      </c>
      <c r="BD30" s="1307">
        <f t="shared" si="33"/>
        <v>15.045340941486177</v>
      </c>
      <c r="BE30" s="1307">
        <f t="shared" si="34"/>
        <v>15.073140096430617</v>
      </c>
      <c r="BF30" s="1307">
        <f t="shared" si="35"/>
        <v>15.260451199160975</v>
      </c>
      <c r="BG30" s="1307">
        <f t="shared" si="36"/>
        <v>15.154549126582797</v>
      </c>
      <c r="BH30" s="1307">
        <f t="shared" si="37"/>
        <v>15.654628061639041</v>
      </c>
      <c r="BK30" s="1814" t="str">
        <f t="shared" si="38"/>
        <v>Innehav utan bestämmande inflytande</v>
      </c>
      <c r="BL30" s="1814"/>
      <c r="BM30" s="1307"/>
      <c r="BN30" s="1307">
        <f t="shared" si="52"/>
        <v>0.33400991211616926</v>
      </c>
      <c r="BO30" s="1307">
        <f t="shared" si="53"/>
        <v>0.21159392991616599</v>
      </c>
      <c r="BP30" s="1307">
        <f t="shared" si="54"/>
        <v>0.29329387795616668</v>
      </c>
      <c r="BQ30" s="1307">
        <f t="shared" si="55"/>
        <v>0.15077456954146307</v>
      </c>
      <c r="BR30" s="1307">
        <f t="shared" si="56"/>
        <v>4.6995155104715636E-2</v>
      </c>
      <c r="BS30" s="1307">
        <f t="shared" si="57"/>
        <v>2.7799154944439408E-2</v>
      </c>
      <c r="BT30" s="1307">
        <f t="shared" si="58"/>
        <v>0.18731110273035867</v>
      </c>
      <c r="BU30" s="1307">
        <f t="shared" si="59"/>
        <v>-0.10590207257817852</v>
      </c>
      <c r="BV30" s="1307">
        <f t="shared" si="60"/>
        <v>0.50007893505624423</v>
      </c>
      <c r="BY30" s="807" t="str">
        <f t="shared" si="97"/>
        <v>Innehav utan bestämmande inflytande</v>
      </c>
      <c r="BZ30" s="226">
        <f>AT30</f>
        <v>26.454628061639042</v>
      </c>
      <c r="CA30" s="220">
        <f>AP30</f>
        <v>30.245340941486177</v>
      </c>
      <c r="CB30" s="220">
        <f>AR30</f>
        <v>31.260451199160975</v>
      </c>
      <c r="CC30" s="888"/>
      <c r="CD30" s="888"/>
      <c r="CE30" s="888"/>
      <c r="CF30" s="2234" t="str">
        <f>+[2]rapkvart!$A72</f>
        <v>Non-controlling interests</v>
      </c>
      <c r="CG30" s="1884">
        <f t="shared" si="61"/>
        <v>26.454628061639042</v>
      </c>
      <c r="CH30" s="237">
        <f t="shared" si="62"/>
        <v>30.245340941486177</v>
      </c>
      <c r="CI30" s="237">
        <f t="shared" si="104"/>
        <v>31.260451199160975</v>
      </c>
      <c r="CK30" s="888"/>
      <c r="CL30" s="807" t="str">
        <f t="shared" si="98"/>
        <v>Innehav utan bestämmande inflytande</v>
      </c>
      <c r="CM30" s="226">
        <f>W30</f>
        <v>10.8</v>
      </c>
      <c r="CN30" s="1914">
        <f t="shared" si="78"/>
        <v>15.654628061639041</v>
      </c>
      <c r="CO30" s="226">
        <f>BZ30</f>
        <v>26.454628061639042</v>
      </c>
      <c r="CP30" s="962"/>
      <c r="CQ30" s="1114"/>
      <c r="CR30" s="807" t="s">
        <v>345</v>
      </c>
      <c r="CS30" s="226">
        <f t="shared" si="105"/>
        <v>10.8</v>
      </c>
      <c r="CT30" s="1914">
        <f t="shared" si="105"/>
        <v>15.654628061639041</v>
      </c>
      <c r="CU30" s="226">
        <f t="shared" si="105"/>
        <v>26.454628061639042</v>
      </c>
      <c r="CW30" s="396"/>
    </row>
    <row r="31" spans="2:101" ht="9.75" thickBot="1" x14ac:dyDescent="0.2">
      <c r="B31" s="1803">
        <f t="shared" si="20"/>
        <v>0</v>
      </c>
      <c r="C31" s="426">
        <f t="shared" si="21"/>
        <v>23</v>
      </c>
      <c r="E31" s="817" t="str">
        <f>AH31</f>
        <v>varav årets totalresultat hänförligt till innehav utan bestämmande inflytande</v>
      </c>
      <c r="F31" s="818"/>
      <c r="G31" s="818"/>
      <c r="H31" s="223">
        <f>H54</f>
        <v>2.1</v>
      </c>
      <c r="I31" s="223">
        <f t="shared" ref="I31:Q31" si="108">I54</f>
        <v>4.3</v>
      </c>
      <c r="J31" s="223">
        <f t="shared" si="108"/>
        <v>6.4</v>
      </c>
      <c r="K31" s="223">
        <f t="shared" si="108"/>
        <v>6.4</v>
      </c>
      <c r="L31" s="223">
        <f t="shared" si="108"/>
        <v>1.6</v>
      </c>
      <c r="M31" s="223">
        <f t="shared" si="108"/>
        <v>3</v>
      </c>
      <c r="N31" s="223">
        <f t="shared" si="108"/>
        <v>3.8</v>
      </c>
      <c r="O31" s="223">
        <f t="shared" si="108"/>
        <v>4.5999999999999996</v>
      </c>
      <c r="P31" s="223">
        <f t="shared" si="108"/>
        <v>1.1000000000000001</v>
      </c>
      <c r="Q31" s="223">
        <f t="shared" si="108"/>
        <v>2.6</v>
      </c>
      <c r="R31" s="223"/>
      <c r="S31" s="223"/>
      <c r="U31" s="1858" t="str">
        <f t="shared" si="95"/>
        <v>varav årets totalresultat hänförligt till innehav utan bestämmande inflytande</v>
      </c>
      <c r="V31" s="1859"/>
      <c r="W31" s="1860">
        <f t="shared" si="99"/>
        <v>2.6</v>
      </c>
      <c r="X31" s="1861">
        <f t="shared" si="100"/>
        <v>3</v>
      </c>
      <c r="Y31" s="1861">
        <f t="shared" si="101"/>
        <v>4.5999999999999996</v>
      </c>
      <c r="Z31" s="1210"/>
      <c r="AA31" s="1858" t="str">
        <f t="shared" si="25"/>
        <v>of which total comprehensive income for the period attributable to non-controlling interests</v>
      </c>
      <c r="AB31" s="1859"/>
      <c r="AC31" s="1860">
        <f t="shared" si="102"/>
        <v>2.6</v>
      </c>
      <c r="AD31" s="1861">
        <f t="shared" si="102"/>
        <v>3</v>
      </c>
      <c r="AE31" s="1861">
        <f t="shared" si="102"/>
        <v>4.5999999999999996</v>
      </c>
      <c r="AH31" s="817" t="s">
        <v>878</v>
      </c>
      <c r="AI31" s="817"/>
      <c r="AJ31" s="817"/>
      <c r="AK31" s="1378">
        <f>'Koncern RR '!CK56</f>
        <v>2.077</v>
      </c>
      <c r="AL31" s="1378">
        <f>'Koncern RR '!CL56</f>
        <v>2.1870000000000003</v>
      </c>
      <c r="AM31" s="1378">
        <f>'Koncern RR '!CM56</f>
        <v>2.1269999999999998</v>
      </c>
      <c r="AN31" s="1378">
        <f>'Koncern RR '!CN56</f>
        <v>3.9999999999995595E-3</v>
      </c>
      <c r="AO31" s="1378">
        <f>'Koncern RR '!CO56</f>
        <v>1.593</v>
      </c>
      <c r="AP31" s="1378">
        <f>'Koncern RR '!CP56</f>
        <v>1.4060000000000001</v>
      </c>
      <c r="AQ31" s="1378">
        <f>'Koncern RR '!CQ56</f>
        <v>0.84299999999999997</v>
      </c>
      <c r="AR31" s="1378">
        <f>'Koncern RR '!CR56</f>
        <v>0.74299999999999988</v>
      </c>
      <c r="AS31" s="1378">
        <f>'Koncern RR '!CS56</f>
        <v>1.103</v>
      </c>
      <c r="AT31" s="1378">
        <f>'Koncern RR '!CT56</f>
        <v>1.5370000000000001</v>
      </c>
      <c r="AW31" s="1818" t="str">
        <f t="shared" si="96"/>
        <v>varav årets totalresultat hänförligt till innehav utan bestämmande inflytande</v>
      </c>
      <c r="AX31" s="1818"/>
      <c r="AY31" s="1810">
        <f t="shared" si="28"/>
        <v>-2.3000000000000131E-2</v>
      </c>
      <c r="AZ31" s="1810">
        <f t="shared" si="29"/>
        <v>-2.1129999999999995</v>
      </c>
      <c r="BA31" s="1810">
        <f t="shared" si="30"/>
        <v>-4.2730000000000006</v>
      </c>
      <c r="BB31" s="1810">
        <f t="shared" si="31"/>
        <v>-6.3960000000000008</v>
      </c>
      <c r="BC31" s="1810">
        <f t="shared" si="32"/>
        <v>-7.0000000000001172E-3</v>
      </c>
      <c r="BD31" s="1810">
        <f t="shared" si="33"/>
        <v>-1.5939999999999999</v>
      </c>
      <c r="BE31" s="1810">
        <f t="shared" si="34"/>
        <v>-2.9569999999999999</v>
      </c>
      <c r="BF31" s="1810">
        <f t="shared" si="35"/>
        <v>-3.8569999999999998</v>
      </c>
      <c r="BG31" s="1810">
        <f t="shared" si="36"/>
        <v>2.9999999999998916E-3</v>
      </c>
      <c r="BH31" s="1810">
        <f t="shared" si="37"/>
        <v>-1.0629999999999999</v>
      </c>
      <c r="BK31" s="1818" t="str">
        <f>AW31</f>
        <v>varav årets totalresultat hänförligt till innehav utan bestämmande inflytande</v>
      </c>
      <c r="BL31" s="1818"/>
      <c r="BM31" s="1810"/>
      <c r="BN31" s="1810">
        <f t="shared" si="52"/>
        <v>-2.0899999999999994</v>
      </c>
      <c r="BO31" s="1810">
        <f t="shared" si="53"/>
        <v>-2.160000000000001</v>
      </c>
      <c r="BP31" s="1810">
        <f t="shared" si="54"/>
        <v>-2.1230000000000002</v>
      </c>
      <c r="BQ31" s="1810">
        <f t="shared" si="55"/>
        <v>6.3890000000000011</v>
      </c>
      <c r="BR31" s="1810">
        <f t="shared" si="56"/>
        <v>-1.5869999999999997</v>
      </c>
      <c r="BS31" s="1810">
        <f t="shared" si="57"/>
        <v>-1.363</v>
      </c>
      <c r="BT31" s="1810">
        <f t="shared" si="58"/>
        <v>-0.89999999999999991</v>
      </c>
      <c r="BU31" s="1810">
        <f t="shared" si="59"/>
        <v>3.8599999999999994</v>
      </c>
      <c r="BV31" s="1810">
        <f t="shared" si="60"/>
        <v>-1.0659999999999998</v>
      </c>
      <c r="BY31" s="1858" t="str">
        <f t="shared" si="97"/>
        <v>varav årets totalresultat hänförligt till innehav utan bestämmande inflytande</v>
      </c>
      <c r="BZ31" s="1860">
        <f>AT31</f>
        <v>1.5370000000000001</v>
      </c>
      <c r="CA31" s="1921">
        <f>AP31</f>
        <v>1.4060000000000001</v>
      </c>
      <c r="CB31" s="1921">
        <f>AR31</f>
        <v>0.74299999999999988</v>
      </c>
      <c r="CC31" s="888"/>
      <c r="CD31" s="888"/>
      <c r="CE31" s="888"/>
      <c r="CF31" s="1858" t="s">
        <v>476</v>
      </c>
      <c r="CG31" s="1860">
        <f t="shared" si="61"/>
        <v>1.5370000000000001</v>
      </c>
      <c r="CH31" s="1921">
        <f t="shared" si="62"/>
        <v>1.4060000000000001</v>
      </c>
      <c r="CI31" s="1921">
        <f t="shared" si="104"/>
        <v>0.74299999999999988</v>
      </c>
      <c r="CK31" s="888"/>
      <c r="CL31" s="1858" t="str">
        <f t="shared" si="98"/>
        <v>varav årets totalresultat hänförligt till innehav utan bestämmande inflytande</v>
      </c>
      <c r="CM31" s="1860">
        <f>W31</f>
        <v>2.6</v>
      </c>
      <c r="CN31" s="1921">
        <f t="shared" si="78"/>
        <v>-1.0629999999999999</v>
      </c>
      <c r="CO31" s="1860">
        <f>BZ31</f>
        <v>1.5370000000000001</v>
      </c>
      <c r="CP31" s="962"/>
      <c r="CQ31" s="1114"/>
      <c r="CR31" s="1858" t="s">
        <v>476</v>
      </c>
      <c r="CS31" s="1860">
        <f t="shared" si="105"/>
        <v>2.6</v>
      </c>
      <c r="CT31" s="1921">
        <f t="shared" si="105"/>
        <v>-1.0629999999999999</v>
      </c>
      <c r="CU31" s="1860">
        <f t="shared" si="105"/>
        <v>1.5370000000000001</v>
      </c>
      <c r="CW31" s="396"/>
    </row>
    <row r="32" spans="2:101" s="401" customFormat="1" x14ac:dyDescent="0.15">
      <c r="B32" s="1804">
        <f t="shared" si="20"/>
        <v>0</v>
      </c>
      <c r="C32" s="819">
        <f>C31+1</f>
        <v>24</v>
      </c>
      <c r="E32" s="416" t="str">
        <f>+[2]rapkvart!B73</f>
        <v>Summa eget kapital</v>
      </c>
      <c r="F32" s="815"/>
      <c r="G32" s="815"/>
      <c r="H32" s="1063">
        <f>[2]rapkvart!S73</f>
        <v>641.79999999999995</v>
      </c>
      <c r="I32" s="1063">
        <f>[2]rapkvart!T73</f>
        <v>648.9</v>
      </c>
      <c r="J32" s="1063">
        <f>[2]rapkvart!U73</f>
        <v>665.6</v>
      </c>
      <c r="K32" s="1063">
        <f>[2]rapkvart!V73</f>
        <v>674.3</v>
      </c>
      <c r="L32" s="1063">
        <f>+[2]rapkvart!$O$73</f>
        <v>722.1</v>
      </c>
      <c r="M32" s="1063">
        <f>+[2]rapkvart!$P$73</f>
        <v>696.9</v>
      </c>
      <c r="N32" s="1063">
        <f>+[2]rapkvart!$Q$73</f>
        <v>715.3</v>
      </c>
      <c r="O32" s="1063">
        <f>+[2]rapkvart!$R$73</f>
        <v>714.8</v>
      </c>
      <c r="P32" s="1063">
        <f>+[2]rapkvart!$K$73</f>
        <v>737.3</v>
      </c>
      <c r="Q32" s="1063">
        <f>+[2]rapkvart!$L$73</f>
        <v>805.5</v>
      </c>
      <c r="R32" s="1063"/>
      <c r="S32" s="1063"/>
      <c r="U32" s="768" t="str">
        <f t="shared" si="95"/>
        <v>Summa eget kapital</v>
      </c>
      <c r="V32" s="938"/>
      <c r="W32" s="229">
        <f t="shared" si="99"/>
        <v>805.5</v>
      </c>
      <c r="X32" s="235">
        <f t="shared" si="100"/>
        <v>696.9</v>
      </c>
      <c r="Y32" s="235">
        <f t="shared" si="101"/>
        <v>714.8</v>
      </c>
      <c r="Z32" s="235"/>
      <c r="AA32" s="768" t="str">
        <f t="shared" si="25"/>
        <v>Total equity</v>
      </c>
      <c r="AB32" s="938"/>
      <c r="AC32" s="229">
        <f t="shared" si="102"/>
        <v>805.5</v>
      </c>
      <c r="AD32" s="235">
        <f t="shared" si="102"/>
        <v>696.9</v>
      </c>
      <c r="AE32" s="235">
        <f t="shared" si="102"/>
        <v>714.8</v>
      </c>
      <c r="AG32" s="396"/>
      <c r="AH32" s="416" t="str">
        <f>E32</f>
        <v>Summa eget kapital</v>
      </c>
      <c r="AI32" s="416"/>
      <c r="AJ32" s="416"/>
      <c r="AK32" s="1063">
        <f t="shared" ref="AK32" si="109">AK28+AK30</f>
        <v>1342.2336748425746</v>
      </c>
      <c r="AL32" s="1063">
        <f t="shared" ref="AL32:AS32" si="110">AL28+AL30</f>
        <v>1366.0341704483833</v>
      </c>
      <c r="AM32" s="1063">
        <f t="shared" si="110"/>
        <v>1393.3138669441917</v>
      </c>
      <c r="AN32" s="1063">
        <f t="shared" si="110"/>
        <v>1416.6785608419998</v>
      </c>
      <c r="AO32" s="1063">
        <f t="shared" si="110"/>
        <v>1472.0172893190729</v>
      </c>
      <c r="AP32" s="1063">
        <f t="shared" si="110"/>
        <v>1449.1670470743088</v>
      </c>
      <c r="AQ32" s="1063">
        <f t="shared" si="110"/>
        <v>1468.957004821531</v>
      </c>
      <c r="AR32" s="1063">
        <f t="shared" si="110"/>
        <v>1477.8225599580487</v>
      </c>
      <c r="AS32" s="1063">
        <f t="shared" si="110"/>
        <v>1495.0274563291398</v>
      </c>
      <c r="AT32" s="1063">
        <f t="shared" ref="AT32" si="111">AT28+AT30</f>
        <v>1588.2314030819521</v>
      </c>
      <c r="AU32" s="398"/>
      <c r="AW32" s="387" t="str">
        <f t="shared" si="96"/>
        <v>Summa eget kapital</v>
      </c>
      <c r="AX32" s="387"/>
      <c r="AY32" s="1309">
        <f t="shared" si="28"/>
        <v>700.43367484257465</v>
      </c>
      <c r="AZ32" s="1309">
        <f t="shared" si="29"/>
        <v>717.13417044838332</v>
      </c>
      <c r="BA32" s="1309">
        <f t="shared" si="30"/>
        <v>727.71386694419164</v>
      </c>
      <c r="BB32" s="1309">
        <f t="shared" si="31"/>
        <v>742.37856084199984</v>
      </c>
      <c r="BC32" s="1309">
        <f t="shared" si="32"/>
        <v>749.91728931907289</v>
      </c>
      <c r="BD32" s="1309">
        <f t="shared" si="33"/>
        <v>752.26704707430883</v>
      </c>
      <c r="BE32" s="1309">
        <f t="shared" si="34"/>
        <v>753.65700482153102</v>
      </c>
      <c r="BF32" s="1309">
        <f t="shared" si="35"/>
        <v>763.02255995804876</v>
      </c>
      <c r="BG32" s="1309">
        <f t="shared" si="36"/>
        <v>757.72745632913984</v>
      </c>
      <c r="BH32" s="1309">
        <f t="shared" si="37"/>
        <v>782.73140308195207</v>
      </c>
      <c r="BK32" s="387" t="str">
        <f t="shared" si="38"/>
        <v>Summa eget kapital</v>
      </c>
      <c r="BL32" s="387"/>
      <c r="BM32" s="1309"/>
      <c r="BN32" s="1309">
        <f t="shared" si="52"/>
        <v>16.700495605808669</v>
      </c>
      <c r="BO32" s="1309">
        <f t="shared" si="53"/>
        <v>10.579696495808321</v>
      </c>
      <c r="BP32" s="1309">
        <f t="shared" si="54"/>
        <v>14.664693897808206</v>
      </c>
      <c r="BQ32" s="1309">
        <f t="shared" si="55"/>
        <v>7.5387284770730503</v>
      </c>
      <c r="BR32" s="1309">
        <f t="shared" si="56"/>
        <v>2.3497577552359417</v>
      </c>
      <c r="BS32" s="1309">
        <f t="shared" si="57"/>
        <v>1.3899577472221836</v>
      </c>
      <c r="BT32" s="1309">
        <f t="shared" si="58"/>
        <v>9.3655551365177416</v>
      </c>
      <c r="BU32" s="1309">
        <f t="shared" si="59"/>
        <v>-5.2951036289089188</v>
      </c>
      <c r="BV32" s="1309">
        <f t="shared" si="60"/>
        <v>25.003946752812226</v>
      </c>
      <c r="BY32" s="768" t="str">
        <f t="shared" si="97"/>
        <v>Summa eget kapital</v>
      </c>
      <c r="BZ32" s="229">
        <f>AT32</f>
        <v>1588.2314030819521</v>
      </c>
      <c r="CA32" s="235">
        <f>AP32</f>
        <v>1449.1670470743088</v>
      </c>
      <c r="CB32" s="235">
        <f>AR32</f>
        <v>1477.8225599580487</v>
      </c>
      <c r="CC32" s="1115"/>
      <c r="CD32" s="1115"/>
      <c r="CE32" s="1115"/>
      <c r="CF32" s="768" t="str">
        <f>+[2]rapkvart!$A73</f>
        <v>Total equity</v>
      </c>
      <c r="CG32" s="229">
        <f t="shared" si="61"/>
        <v>1588.2314030819521</v>
      </c>
      <c r="CH32" s="235">
        <f t="shared" si="62"/>
        <v>1449.1670470743088</v>
      </c>
      <c r="CI32" s="235">
        <f t="shared" si="104"/>
        <v>1477.8225599580487</v>
      </c>
      <c r="CJ32" s="396"/>
      <c r="CK32" s="1115"/>
      <c r="CL32" s="768" t="str">
        <f t="shared" si="98"/>
        <v>Summa eget kapital</v>
      </c>
      <c r="CM32" s="229">
        <f>W32</f>
        <v>805.5</v>
      </c>
      <c r="CN32" s="1209">
        <f t="shared" si="78"/>
        <v>782.73140308195207</v>
      </c>
      <c r="CO32" s="229">
        <f>BZ32</f>
        <v>1588.2314030819521</v>
      </c>
      <c r="CP32" s="1116"/>
      <c r="CQ32" s="1117"/>
      <c r="CR32" s="768" t="s">
        <v>477</v>
      </c>
      <c r="CS32" s="229">
        <f t="shared" si="105"/>
        <v>805.5</v>
      </c>
      <c r="CT32" s="1209">
        <f t="shared" si="105"/>
        <v>782.73140308195207</v>
      </c>
      <c r="CU32" s="229">
        <f t="shared" si="105"/>
        <v>1588.2314030819521</v>
      </c>
      <c r="CV32" s="396"/>
    </row>
    <row r="33" spans="2:101" x14ac:dyDescent="0.15">
      <c r="B33" s="1803">
        <f t="shared" si="20"/>
        <v>0</v>
      </c>
      <c r="C33" s="426">
        <f t="shared" si="21"/>
        <v>25</v>
      </c>
      <c r="E33" s="872"/>
      <c r="F33" s="813"/>
      <c r="G33" s="813"/>
      <c r="H33" s="1297"/>
      <c r="I33" s="1297"/>
      <c r="J33" s="1297"/>
      <c r="K33" s="1297"/>
      <c r="L33" s="1297"/>
      <c r="M33" s="1297"/>
      <c r="N33" s="1297"/>
      <c r="O33" s="1297"/>
      <c r="P33" s="1297"/>
      <c r="Q33" s="1297"/>
      <c r="R33" s="1297"/>
      <c r="S33" s="1297"/>
      <c r="U33" s="1882"/>
      <c r="V33" s="1883"/>
      <c r="W33" s="1884"/>
      <c r="X33" s="237"/>
      <c r="Y33" s="237"/>
      <c r="Z33" s="233"/>
      <c r="AA33" s="1882"/>
      <c r="AB33" s="1883"/>
      <c r="AC33" s="1884"/>
      <c r="AD33" s="237"/>
      <c r="AE33" s="237"/>
      <c r="AH33" s="872"/>
      <c r="AI33" s="813"/>
      <c r="AJ33" s="813"/>
      <c r="AK33" s="1064"/>
      <c r="AL33" s="1064"/>
      <c r="AM33" s="1064"/>
      <c r="AN33" s="1064"/>
      <c r="AO33" s="1064"/>
      <c r="AP33" s="1064"/>
      <c r="AQ33" s="1064"/>
      <c r="AR33" s="1064"/>
      <c r="AS33" s="1064"/>
      <c r="AT33" s="1064"/>
      <c r="AW33" s="1814"/>
      <c r="AX33" s="1814"/>
      <c r="AY33" s="1805"/>
      <c r="AZ33" s="1805"/>
      <c r="BA33" s="1805"/>
      <c r="BB33" s="1805"/>
      <c r="BC33" s="1805"/>
      <c r="BD33" s="1805"/>
      <c r="BE33" s="1805"/>
      <c r="BF33" s="1805"/>
      <c r="BG33" s="1805"/>
      <c r="BH33" s="1805"/>
      <c r="BK33" s="1814">
        <f t="shared" si="38"/>
        <v>0</v>
      </c>
      <c r="BL33" s="1814"/>
      <c r="BM33" s="1805"/>
      <c r="BN33" s="1805"/>
      <c r="BO33" s="1805"/>
      <c r="BP33" s="1805"/>
      <c r="BQ33" s="1805"/>
      <c r="BR33" s="1805"/>
      <c r="BS33" s="1805"/>
      <c r="BT33" s="1805"/>
      <c r="BU33" s="1805"/>
      <c r="BV33" s="1805"/>
      <c r="BY33" s="1882"/>
      <c r="BZ33" s="1884"/>
      <c r="CA33" s="237"/>
      <c r="CB33" s="237"/>
      <c r="CC33" s="888"/>
      <c r="CD33" s="888"/>
      <c r="CE33" s="888"/>
      <c r="CF33" s="1882"/>
      <c r="CG33" s="1954"/>
      <c r="CH33" s="233"/>
      <c r="CI33" s="233"/>
      <c r="CK33" s="888"/>
      <c r="CL33" s="1882"/>
      <c r="CM33" s="1884"/>
      <c r="CN33" s="1918"/>
      <c r="CO33" s="1884"/>
      <c r="CP33" s="962"/>
      <c r="CQ33" s="1114"/>
      <c r="CR33" s="2313"/>
      <c r="CS33" s="1954"/>
      <c r="CT33" s="2314"/>
      <c r="CU33" s="1954"/>
      <c r="CW33" s="396"/>
    </row>
    <row r="34" spans="2:101" x14ac:dyDescent="0.15">
      <c r="B34" s="1803">
        <f t="shared" si="20"/>
        <v>0</v>
      </c>
      <c r="C34" s="426">
        <f t="shared" si="21"/>
        <v>26</v>
      </c>
      <c r="E34" s="417" t="str">
        <f>+[2]rapkvart!B75</f>
        <v>Skulder</v>
      </c>
      <c r="F34" s="815"/>
      <c r="G34" s="417"/>
      <c r="H34" s="963"/>
      <c r="I34" s="963"/>
      <c r="J34" s="963"/>
      <c r="K34" s="963"/>
      <c r="L34" s="963"/>
      <c r="M34" s="963"/>
      <c r="N34" s="963"/>
      <c r="O34" s="963"/>
      <c r="P34" s="963"/>
      <c r="Q34" s="963"/>
      <c r="R34" s="963"/>
      <c r="S34" s="963"/>
      <c r="U34" s="1889" t="str">
        <f t="shared" ref="U34:U41" si="112">E34</f>
        <v>Skulder</v>
      </c>
      <c r="V34" s="1883"/>
      <c r="W34" s="1884"/>
      <c r="X34" s="237"/>
      <c r="Y34" s="237"/>
      <c r="Z34" s="237"/>
      <c r="AA34" s="1889" t="str">
        <f t="shared" si="25"/>
        <v>Liabilities</v>
      </c>
      <c r="AB34" s="1883"/>
      <c r="AC34" s="1884"/>
      <c r="AD34" s="237"/>
      <c r="AE34" s="237"/>
      <c r="AH34" s="417" t="str">
        <f t="shared" ref="AH34:AH41" si="113">E34</f>
        <v>Skulder</v>
      </c>
      <c r="AI34" s="811"/>
      <c r="AJ34" s="811"/>
      <c r="AK34" s="1103"/>
      <c r="AL34" s="1103"/>
      <c r="AM34" s="1103"/>
      <c r="AN34" s="1103"/>
      <c r="AO34" s="1103"/>
      <c r="AP34" s="1103"/>
      <c r="AQ34" s="1103"/>
      <c r="AR34" s="1103"/>
      <c r="AS34" s="1103"/>
      <c r="AT34" s="1103"/>
      <c r="AW34" s="1812" t="str">
        <f t="shared" ref="AW34:AW41" si="114">E34</f>
        <v>Skulder</v>
      </c>
      <c r="AX34" s="1812"/>
      <c r="AY34" s="1805">
        <f t="shared" si="28"/>
        <v>0</v>
      </c>
      <c r="AZ34" s="1805">
        <f t="shared" si="29"/>
        <v>0</v>
      </c>
      <c r="BA34" s="1805">
        <f t="shared" si="30"/>
        <v>0</v>
      </c>
      <c r="BB34" s="1805">
        <f t="shared" si="31"/>
        <v>0</v>
      </c>
      <c r="BC34" s="1805">
        <f t="shared" si="32"/>
        <v>0</v>
      </c>
      <c r="BD34" s="1805">
        <f t="shared" si="33"/>
        <v>0</v>
      </c>
      <c r="BE34" s="1805">
        <f t="shared" si="34"/>
        <v>0</v>
      </c>
      <c r="BF34" s="1805">
        <f t="shared" si="35"/>
        <v>0</v>
      </c>
      <c r="BG34" s="1805">
        <f t="shared" si="36"/>
        <v>0</v>
      </c>
      <c r="BH34" s="1805">
        <f t="shared" si="37"/>
        <v>0</v>
      </c>
      <c r="BK34" s="1812" t="str">
        <f t="shared" si="38"/>
        <v>Skulder</v>
      </c>
      <c r="BL34" s="1812"/>
      <c r="BM34" s="1805"/>
      <c r="BN34" s="1805">
        <f t="shared" si="52"/>
        <v>0</v>
      </c>
      <c r="BO34" s="1805">
        <f t="shared" si="53"/>
        <v>0</v>
      </c>
      <c r="BP34" s="1805">
        <f t="shared" si="54"/>
        <v>0</v>
      </c>
      <c r="BQ34" s="1805">
        <f t="shared" si="55"/>
        <v>0</v>
      </c>
      <c r="BR34" s="1805">
        <f t="shared" si="56"/>
        <v>0</v>
      </c>
      <c r="BS34" s="1805">
        <f t="shared" si="57"/>
        <v>0</v>
      </c>
      <c r="BT34" s="1805">
        <f t="shared" si="58"/>
        <v>0</v>
      </c>
      <c r="BU34" s="1805">
        <f t="shared" si="59"/>
        <v>0</v>
      </c>
      <c r="BV34" s="1805">
        <f t="shared" si="60"/>
        <v>0</v>
      </c>
      <c r="BY34" s="1889" t="str">
        <f t="shared" ref="BY34:BY41" si="115">AH34</f>
        <v>Skulder</v>
      </c>
      <c r="BZ34" s="1884"/>
      <c r="CA34" s="237"/>
      <c r="CB34" s="237"/>
      <c r="CC34" s="888"/>
      <c r="CD34" s="888"/>
      <c r="CE34" s="888"/>
      <c r="CF34" s="1889" t="str">
        <f>+[2]rapkvart!$A75</f>
        <v>Liabilities</v>
      </c>
      <c r="CG34" s="1954"/>
      <c r="CH34" s="233"/>
      <c r="CI34" s="233"/>
      <c r="CK34" s="888"/>
      <c r="CL34" s="1889" t="str">
        <f t="shared" ref="CL34:CL41" si="116">AH34</f>
        <v>Skulder</v>
      </c>
      <c r="CM34" s="1884"/>
      <c r="CN34" s="1918"/>
      <c r="CO34" s="1884"/>
      <c r="CP34" s="962"/>
      <c r="CQ34" s="1114"/>
      <c r="CR34" s="2321" t="s">
        <v>478</v>
      </c>
      <c r="CS34" s="1954"/>
      <c r="CT34" s="2314"/>
      <c r="CU34" s="1954"/>
      <c r="CW34" s="396"/>
    </row>
    <row r="35" spans="2:101" x14ac:dyDescent="0.15">
      <c r="B35" s="1803">
        <f t="shared" si="20"/>
        <v>0</v>
      </c>
      <c r="C35" s="426">
        <f t="shared" si="21"/>
        <v>27</v>
      </c>
      <c r="E35" s="1035" t="str">
        <f>+[2]rapkvart!B76</f>
        <v>Räntebärande skulder och avsättningar</v>
      </c>
      <c r="F35" s="1035"/>
      <c r="G35" s="1035"/>
      <c r="H35" s="963">
        <f>[2]rapkvart!S76</f>
        <v>118.1</v>
      </c>
      <c r="I35" s="963">
        <f>[2]rapkvart!T76</f>
        <v>106.9</v>
      </c>
      <c r="J35" s="963">
        <f>[2]rapkvart!U76</f>
        <v>99.9</v>
      </c>
      <c r="K35" s="963">
        <f>[2]rapkvart!V76</f>
        <v>94.8</v>
      </c>
      <c r="L35" s="963">
        <f>+[2]rapkvart!$O$76</f>
        <v>87.4</v>
      </c>
      <c r="M35" s="963">
        <f>+[2]rapkvart!$P$76</f>
        <v>83.2</v>
      </c>
      <c r="N35" s="963">
        <f>+[2]rapkvart!$Q$76</f>
        <v>77.3</v>
      </c>
      <c r="O35" s="963">
        <f>+[2]rapkvart!$R$76</f>
        <v>73.7</v>
      </c>
      <c r="P35" s="963">
        <f>+[2]rapkvart!$K$76</f>
        <v>69.400000000000006</v>
      </c>
      <c r="Q35" s="963">
        <f>+[2]rapkvart!$L$76</f>
        <v>65.3</v>
      </c>
      <c r="R35" s="963"/>
      <c r="S35" s="963"/>
      <c r="U35" s="804" t="str">
        <f t="shared" si="112"/>
        <v>Räntebärande skulder och avsättningar</v>
      </c>
      <c r="V35" s="935"/>
      <c r="W35" s="226">
        <f t="shared" ref="W35:W41" si="117">Q35</f>
        <v>65.3</v>
      </c>
      <c r="X35" s="220">
        <f t="shared" ref="X35:X41" si="118">M35</f>
        <v>83.2</v>
      </c>
      <c r="Y35" s="220">
        <f t="shared" ref="Y35:Y41" si="119">O35</f>
        <v>73.7</v>
      </c>
      <c r="Z35" s="237"/>
      <c r="AA35" s="804" t="str">
        <f t="shared" si="25"/>
        <v xml:space="preserve"> Interest-bearing liabilities</v>
      </c>
      <c r="AB35" s="935"/>
      <c r="AC35" s="226">
        <f t="shared" ref="AC35:AE41" si="120">W35</f>
        <v>65.3</v>
      </c>
      <c r="AD35" s="220">
        <f t="shared" si="120"/>
        <v>83.2</v>
      </c>
      <c r="AE35" s="220">
        <f t="shared" si="120"/>
        <v>73.7</v>
      </c>
      <c r="AH35" s="1035" t="str">
        <f t="shared" si="113"/>
        <v>Räntebärande skulder och avsättningar</v>
      </c>
      <c r="AI35" s="1035"/>
      <c r="AJ35" s="1034"/>
      <c r="AK35" s="963">
        <f t="shared" ref="AK35:AT35" si="121">H35</f>
        <v>118.1</v>
      </c>
      <c r="AL35" s="963">
        <f t="shared" si="121"/>
        <v>106.9</v>
      </c>
      <c r="AM35" s="963">
        <f t="shared" si="121"/>
        <v>99.9</v>
      </c>
      <c r="AN35" s="963">
        <f t="shared" si="121"/>
        <v>94.8</v>
      </c>
      <c r="AO35" s="963">
        <f t="shared" si="121"/>
        <v>87.4</v>
      </c>
      <c r="AP35" s="963">
        <f t="shared" si="121"/>
        <v>83.2</v>
      </c>
      <c r="AQ35" s="963">
        <f t="shared" si="121"/>
        <v>77.3</v>
      </c>
      <c r="AR35" s="963">
        <f t="shared" si="121"/>
        <v>73.7</v>
      </c>
      <c r="AS35" s="963">
        <f t="shared" si="121"/>
        <v>69.400000000000006</v>
      </c>
      <c r="AT35" s="963">
        <f t="shared" si="121"/>
        <v>65.3</v>
      </c>
      <c r="AW35" s="1814" t="str">
        <f t="shared" si="114"/>
        <v>Räntebärande skulder och avsättningar</v>
      </c>
      <c r="AX35" s="1814"/>
      <c r="AY35" s="1805">
        <f t="shared" si="28"/>
        <v>0</v>
      </c>
      <c r="AZ35" s="1805">
        <f t="shared" si="29"/>
        <v>0</v>
      </c>
      <c r="BA35" s="1805">
        <f t="shared" si="30"/>
        <v>0</v>
      </c>
      <c r="BB35" s="1805">
        <f t="shared" si="31"/>
        <v>0</v>
      </c>
      <c r="BC35" s="1805">
        <f t="shared" si="32"/>
        <v>0</v>
      </c>
      <c r="BD35" s="1805">
        <f t="shared" si="33"/>
        <v>0</v>
      </c>
      <c r="BE35" s="1805">
        <f t="shared" si="34"/>
        <v>0</v>
      </c>
      <c r="BF35" s="1805">
        <f t="shared" si="35"/>
        <v>0</v>
      </c>
      <c r="BG35" s="1805">
        <f t="shared" si="36"/>
        <v>0</v>
      </c>
      <c r="BH35" s="1805">
        <f t="shared" si="37"/>
        <v>0</v>
      </c>
      <c r="BK35" s="1814" t="str">
        <f t="shared" si="38"/>
        <v>Räntebärande skulder och avsättningar</v>
      </c>
      <c r="BL35" s="1814"/>
      <c r="BM35" s="1805"/>
      <c r="BN35" s="1805">
        <f t="shared" si="52"/>
        <v>0</v>
      </c>
      <c r="BO35" s="1805">
        <f t="shared" si="53"/>
        <v>0</v>
      </c>
      <c r="BP35" s="1805">
        <f t="shared" si="54"/>
        <v>0</v>
      </c>
      <c r="BQ35" s="1805">
        <f t="shared" si="55"/>
        <v>0</v>
      </c>
      <c r="BR35" s="1805">
        <f t="shared" si="56"/>
        <v>0</v>
      </c>
      <c r="BS35" s="1805">
        <f t="shared" si="57"/>
        <v>0</v>
      </c>
      <c r="BT35" s="1805">
        <f t="shared" si="58"/>
        <v>0</v>
      </c>
      <c r="BU35" s="1805">
        <f t="shared" si="59"/>
        <v>0</v>
      </c>
      <c r="BV35" s="1805">
        <f t="shared" si="60"/>
        <v>0</v>
      </c>
      <c r="BY35" s="804" t="str">
        <f t="shared" si="115"/>
        <v>Räntebärande skulder och avsättningar</v>
      </c>
      <c r="BZ35" s="226">
        <f t="shared" ref="BZ35:BZ41" si="122">AT35</f>
        <v>65.3</v>
      </c>
      <c r="CA35" s="220">
        <f t="shared" ref="CA35:CA41" si="123">AP35</f>
        <v>83.2</v>
      </c>
      <c r="CB35" s="220">
        <f t="shared" ref="CB35:CB41" si="124">AR35</f>
        <v>73.7</v>
      </c>
      <c r="CC35" s="888"/>
      <c r="CD35" s="888"/>
      <c r="CE35" s="888"/>
      <c r="CF35" s="1882" t="str">
        <f>+[2]rapkvart!$A76</f>
        <v xml:space="preserve"> Interest-bearing liabilities</v>
      </c>
      <c r="CG35" s="1884">
        <f t="shared" si="61"/>
        <v>65.3</v>
      </c>
      <c r="CH35" s="237">
        <f t="shared" si="62"/>
        <v>83.2</v>
      </c>
      <c r="CI35" s="237">
        <f t="shared" ref="CI35:CI41" si="125">$CB35</f>
        <v>73.7</v>
      </c>
      <c r="CK35" s="888"/>
      <c r="CL35" s="804" t="str">
        <f t="shared" si="116"/>
        <v>Räntebärande skulder och avsättningar</v>
      </c>
      <c r="CM35" s="226">
        <f t="shared" ref="CM35:CM41" si="126">W35</f>
        <v>65.3</v>
      </c>
      <c r="CN35" s="1914"/>
      <c r="CO35" s="226">
        <f t="shared" ref="CO35:CO41" si="127">BZ35</f>
        <v>65.3</v>
      </c>
      <c r="CP35" s="962"/>
      <c r="CQ35" s="1114"/>
      <c r="CR35" s="804" t="s">
        <v>479</v>
      </c>
      <c r="CS35" s="226">
        <f t="shared" ref="CS35:CU41" si="128">CM35</f>
        <v>65.3</v>
      </c>
      <c r="CT35" s="1914"/>
      <c r="CU35" s="226">
        <f t="shared" si="128"/>
        <v>65.3</v>
      </c>
      <c r="CW35" s="396"/>
    </row>
    <row r="36" spans="2:101" ht="9.75" thickBot="1" x14ac:dyDescent="0.2">
      <c r="B36" s="1803">
        <f t="shared" si="20"/>
        <v>0</v>
      </c>
      <c r="C36" s="426">
        <f t="shared" si="21"/>
        <v>28</v>
      </c>
      <c r="E36" s="1036" t="str">
        <f>+[2]rapkvart!B77</f>
        <v>Uppskjutna skatteskulder</v>
      </c>
      <c r="F36" s="1043"/>
      <c r="G36" s="1043"/>
      <c r="H36" s="1065">
        <f>[2]rapkvart!S77</f>
        <v>87.7</v>
      </c>
      <c r="I36" s="1065">
        <f>[2]rapkvart!T77</f>
        <v>88.3</v>
      </c>
      <c r="J36" s="1065">
        <f>[2]rapkvart!U77</f>
        <v>89.5</v>
      </c>
      <c r="K36" s="1065">
        <f>[2]rapkvart!V77</f>
        <v>93.5</v>
      </c>
      <c r="L36" s="1065">
        <f>+[2]rapkvart!$O$77</f>
        <v>95.3</v>
      </c>
      <c r="M36" s="1065">
        <f>+[2]rapkvart!$P$77</f>
        <v>92.7</v>
      </c>
      <c r="N36" s="1065">
        <f>+[2]rapkvart!$Q$77</f>
        <v>93.8</v>
      </c>
      <c r="O36" s="1065">
        <f>+[2]rapkvart!$R$77</f>
        <v>96.7</v>
      </c>
      <c r="P36" s="1065">
        <f>+[2]rapkvart!$K$77</f>
        <v>95.1</v>
      </c>
      <c r="Q36" s="1065">
        <f>+[2]rapkvart!$L$77</f>
        <v>97.5</v>
      </c>
      <c r="R36" s="1065"/>
      <c r="S36" s="1065"/>
      <c r="U36" s="1862" t="str">
        <f t="shared" si="112"/>
        <v>Uppskjutna skatteskulder</v>
      </c>
      <c r="V36" s="1859"/>
      <c r="W36" s="1852">
        <f t="shared" si="117"/>
        <v>97.5</v>
      </c>
      <c r="X36" s="1853">
        <f t="shared" si="118"/>
        <v>92.7</v>
      </c>
      <c r="Y36" s="1853">
        <f t="shared" si="119"/>
        <v>96.7</v>
      </c>
      <c r="Z36" s="237"/>
      <c r="AA36" s="1862" t="str">
        <f t="shared" si="25"/>
        <v xml:space="preserve"> Interest-free liabilities</v>
      </c>
      <c r="AB36" s="1859"/>
      <c r="AC36" s="1852">
        <f t="shared" si="120"/>
        <v>97.5</v>
      </c>
      <c r="AD36" s="1853">
        <f t="shared" si="120"/>
        <v>92.7</v>
      </c>
      <c r="AE36" s="1853">
        <f t="shared" si="120"/>
        <v>96.7</v>
      </c>
      <c r="AH36" s="1382" t="str">
        <f t="shared" si="113"/>
        <v>Uppskjutna skatteskulder</v>
      </c>
      <c r="AI36" s="818"/>
      <c r="AJ36" s="818"/>
      <c r="AK36" s="1378">
        <f t="shared" ref="AK36:AT36" si="129">H36+AK148-(AK169*-1)+(AK176)</f>
        <v>269.42460581557981</v>
      </c>
      <c r="AL36" s="1378">
        <f t="shared" si="129"/>
        <v>274.25747999038657</v>
      </c>
      <c r="AM36" s="1378">
        <f t="shared" si="129"/>
        <v>278.30233827519328</v>
      </c>
      <c r="AN36" s="1378">
        <f t="shared" si="129"/>
        <v>286.10703215799992</v>
      </c>
      <c r="AO36" s="1378">
        <f t="shared" si="129"/>
        <v>289.86292392912975</v>
      </c>
      <c r="AP36" s="1378">
        <f t="shared" si="129"/>
        <v>287.87255881273001</v>
      </c>
      <c r="AQ36" s="1378">
        <f t="shared" si="129"/>
        <v>289.33317757334424</v>
      </c>
      <c r="AR36" s="1378">
        <f t="shared" si="129"/>
        <v>294.66303192866252</v>
      </c>
      <c r="AS36" s="1378">
        <f t="shared" si="129"/>
        <v>291.68923929949972</v>
      </c>
      <c r="AT36" s="2458">
        <f t="shared" si="129"/>
        <v>300.57640936383132</v>
      </c>
      <c r="AW36" s="1816" t="str">
        <f t="shared" si="114"/>
        <v>Uppskjutna skatteskulder</v>
      </c>
      <c r="AX36" s="1816"/>
      <c r="AY36" s="1807">
        <f t="shared" si="28"/>
        <v>181.72460581557982</v>
      </c>
      <c r="AZ36" s="1807">
        <f t="shared" si="29"/>
        <v>185.95747999038656</v>
      </c>
      <c r="BA36" s="1807">
        <f t="shared" si="30"/>
        <v>188.80233827519328</v>
      </c>
      <c r="BB36" s="1807">
        <f t="shared" si="31"/>
        <v>192.60703215799992</v>
      </c>
      <c r="BC36" s="1807">
        <f t="shared" si="32"/>
        <v>194.56292392912974</v>
      </c>
      <c r="BD36" s="1807">
        <f t="shared" si="33"/>
        <v>195.17255881273002</v>
      </c>
      <c r="BE36" s="1807">
        <f t="shared" si="34"/>
        <v>195.53317757334423</v>
      </c>
      <c r="BF36" s="1807">
        <f t="shared" si="35"/>
        <v>197.96303192866253</v>
      </c>
      <c r="BG36" s="1807">
        <f t="shared" si="36"/>
        <v>196.58923929949972</v>
      </c>
      <c r="BH36" s="1807">
        <f t="shared" si="37"/>
        <v>203.07640936383132</v>
      </c>
      <c r="BK36" s="1816" t="str">
        <f t="shared" si="38"/>
        <v>Uppskjutna skatteskulder</v>
      </c>
      <c r="BL36" s="1816"/>
      <c r="BM36" s="1807"/>
      <c r="BN36" s="1807">
        <f t="shared" si="52"/>
        <v>4.2328741748067387</v>
      </c>
      <c r="BO36" s="1807">
        <f t="shared" si="53"/>
        <v>2.844858284806719</v>
      </c>
      <c r="BP36" s="1807">
        <f t="shared" si="54"/>
        <v>3.8046938828066459</v>
      </c>
      <c r="BQ36" s="1807">
        <f t="shared" si="55"/>
        <v>1.9558917711298136</v>
      </c>
      <c r="BR36" s="1807">
        <f t="shared" si="56"/>
        <v>0.60963488360027895</v>
      </c>
      <c r="BS36" s="1807">
        <f t="shared" si="57"/>
        <v>0.36061876061421572</v>
      </c>
      <c r="BT36" s="1807">
        <f t="shared" si="58"/>
        <v>2.4298543553182981</v>
      </c>
      <c r="BU36" s="1807">
        <f t="shared" si="59"/>
        <v>-1.3737926291628071</v>
      </c>
      <c r="BV36" s="1807">
        <f t="shared" si="60"/>
        <v>6.4871700643315933</v>
      </c>
      <c r="BY36" s="1862" t="str">
        <f t="shared" si="115"/>
        <v>Uppskjutna skatteskulder</v>
      </c>
      <c r="BZ36" s="1852">
        <f t="shared" si="122"/>
        <v>300.57640936383132</v>
      </c>
      <c r="CA36" s="1853">
        <f t="shared" si="123"/>
        <v>287.87255881273001</v>
      </c>
      <c r="CB36" s="1853">
        <f t="shared" si="124"/>
        <v>294.66303192866252</v>
      </c>
      <c r="CC36" s="888"/>
      <c r="CD36" s="888"/>
      <c r="CE36" s="888"/>
      <c r="CF36" s="1862" t="str">
        <f>+[2]rapkvart!$A77</f>
        <v xml:space="preserve"> Interest-free liabilities</v>
      </c>
      <c r="CG36" s="1852">
        <f t="shared" si="61"/>
        <v>300.57640936383132</v>
      </c>
      <c r="CH36" s="1853">
        <f t="shared" si="62"/>
        <v>287.87255881273001</v>
      </c>
      <c r="CI36" s="1853">
        <f t="shared" si="125"/>
        <v>294.66303192866252</v>
      </c>
      <c r="CK36" s="888"/>
      <c r="CL36" s="1862" t="str">
        <f t="shared" si="116"/>
        <v>Uppskjutna skatteskulder</v>
      </c>
      <c r="CM36" s="1852">
        <f t="shared" si="126"/>
        <v>97.5</v>
      </c>
      <c r="CN36" s="1917">
        <f t="shared" si="78"/>
        <v>203.07640936383132</v>
      </c>
      <c r="CO36" s="1852">
        <f t="shared" si="127"/>
        <v>300.57640936383132</v>
      </c>
      <c r="CP36" s="962"/>
      <c r="CQ36" s="1114"/>
      <c r="CR36" s="1862" t="s">
        <v>480</v>
      </c>
      <c r="CS36" s="1852">
        <f t="shared" si="128"/>
        <v>97.5</v>
      </c>
      <c r="CT36" s="1917">
        <f t="shared" si="128"/>
        <v>203.07640936383132</v>
      </c>
      <c r="CU36" s="1852">
        <f t="shared" si="128"/>
        <v>300.57640936383132</v>
      </c>
      <c r="CW36" s="396"/>
    </row>
    <row r="37" spans="2:101" x14ac:dyDescent="0.15">
      <c r="B37" s="1803">
        <f t="shared" si="20"/>
        <v>0</v>
      </c>
      <c r="C37" s="426">
        <f t="shared" si="21"/>
        <v>29</v>
      </c>
      <c r="E37" s="416" t="str">
        <f>+[2]rapkvart!B78</f>
        <v>Summa långfristiga skulder</v>
      </c>
      <c r="F37" s="815"/>
      <c r="G37" s="815"/>
      <c r="H37" s="1066">
        <f>[2]rapkvart!S78</f>
        <v>205.8</v>
      </c>
      <c r="I37" s="1066">
        <f>[2]rapkvart!T78</f>
        <v>195.2</v>
      </c>
      <c r="J37" s="1066">
        <f>[2]rapkvart!U78</f>
        <v>189.4</v>
      </c>
      <c r="K37" s="1066">
        <f>[2]rapkvart!V78</f>
        <v>188.3</v>
      </c>
      <c r="L37" s="1066">
        <f>+[2]rapkvart!$O$78</f>
        <v>182.7</v>
      </c>
      <c r="M37" s="1066">
        <f>+[2]rapkvart!$P$78</f>
        <v>175.9</v>
      </c>
      <c r="N37" s="1066">
        <f>+[2]rapkvart!$Q$78</f>
        <v>171.1</v>
      </c>
      <c r="O37" s="1066">
        <f>+[2]rapkvart!$R$78</f>
        <v>170.4</v>
      </c>
      <c r="P37" s="1066">
        <f>+[2]rapkvart!$K$78</f>
        <v>164.5</v>
      </c>
      <c r="Q37" s="1066">
        <f>+[2]rapkvart!$L$78</f>
        <v>162.80000000000001</v>
      </c>
      <c r="R37" s="1066"/>
      <c r="S37" s="1066"/>
      <c r="U37" s="768" t="str">
        <f t="shared" si="112"/>
        <v>Summa långfristiga skulder</v>
      </c>
      <c r="V37" s="938"/>
      <c r="W37" s="232">
        <f t="shared" si="117"/>
        <v>162.80000000000001</v>
      </c>
      <c r="X37" s="240">
        <f t="shared" si="118"/>
        <v>175.9</v>
      </c>
      <c r="Y37" s="240">
        <f t="shared" si="119"/>
        <v>170.4</v>
      </c>
      <c r="Z37" s="1211"/>
      <c r="AA37" s="768" t="str">
        <f t="shared" si="25"/>
        <v>Total long-term liabilities</v>
      </c>
      <c r="AB37" s="938"/>
      <c r="AC37" s="232">
        <f t="shared" si="120"/>
        <v>162.80000000000001</v>
      </c>
      <c r="AD37" s="240">
        <f t="shared" si="120"/>
        <v>175.9</v>
      </c>
      <c r="AE37" s="240">
        <f t="shared" si="120"/>
        <v>170.4</v>
      </c>
      <c r="AH37" s="416" t="str">
        <f t="shared" si="113"/>
        <v>Summa långfristiga skulder</v>
      </c>
      <c r="AI37" s="815"/>
      <c r="AJ37" s="815"/>
      <c r="AK37" s="1066">
        <f t="shared" ref="AK37" si="130">SUM(AK35:AK36)</f>
        <v>387.52460581557978</v>
      </c>
      <c r="AL37" s="1066">
        <f t="shared" ref="AL37" si="131">SUM(AL35:AL36)</f>
        <v>381.15747999038661</v>
      </c>
      <c r="AM37" s="1066">
        <f t="shared" ref="AM37" si="132">SUM(AM35:AM36)</f>
        <v>378.20233827519326</v>
      </c>
      <c r="AN37" s="1066">
        <f t="shared" ref="AN37" si="133">SUM(AN35:AN36)</f>
        <v>380.90703215799994</v>
      </c>
      <c r="AO37" s="1066">
        <f t="shared" ref="AO37" si="134">SUM(AO35:AO36)</f>
        <v>377.26292392912978</v>
      </c>
      <c r="AP37" s="1066">
        <f t="shared" ref="AP37" si="135">SUM(AP35:AP36)</f>
        <v>371.07255881272999</v>
      </c>
      <c r="AQ37" s="1066">
        <f t="shared" ref="AQ37" si="136">SUM(AQ35:AQ36)</f>
        <v>366.63317757334426</v>
      </c>
      <c r="AR37" s="1066">
        <f t="shared" ref="AR37" si="137">SUM(AR35:AR36)</f>
        <v>368.36303192866251</v>
      </c>
      <c r="AS37" s="1066">
        <f t="shared" ref="AS37:AT37" si="138">SUM(AS35:AS36)</f>
        <v>361.0892392994997</v>
      </c>
      <c r="AT37" s="1066">
        <f t="shared" si="138"/>
        <v>365.87640936383133</v>
      </c>
      <c r="AW37" s="387" t="str">
        <f t="shared" si="114"/>
        <v>Summa långfristiga skulder</v>
      </c>
      <c r="AX37" s="387"/>
      <c r="AY37" s="1811">
        <f t="shared" si="28"/>
        <v>181.72460581557976</v>
      </c>
      <c r="AZ37" s="1811">
        <f t="shared" si="29"/>
        <v>185.95747999038662</v>
      </c>
      <c r="BA37" s="1811">
        <f t="shared" si="30"/>
        <v>188.80233827519325</v>
      </c>
      <c r="BB37" s="1811">
        <f t="shared" si="31"/>
        <v>192.60703215799992</v>
      </c>
      <c r="BC37" s="1811">
        <f t="shared" si="32"/>
        <v>194.56292392912979</v>
      </c>
      <c r="BD37" s="1811">
        <f t="shared" si="33"/>
        <v>195.17255881272999</v>
      </c>
      <c r="BE37" s="1811">
        <f t="shared" si="34"/>
        <v>195.53317757334426</v>
      </c>
      <c r="BF37" s="1811">
        <f t="shared" si="35"/>
        <v>197.9630319286625</v>
      </c>
      <c r="BG37" s="1811">
        <f t="shared" si="36"/>
        <v>196.5892392994997</v>
      </c>
      <c r="BH37" s="1811">
        <f t="shared" si="37"/>
        <v>203.07640936383132</v>
      </c>
      <c r="BK37" s="387" t="str">
        <f t="shared" si="38"/>
        <v>Summa långfristiga skulder</v>
      </c>
      <c r="BL37" s="387"/>
      <c r="BM37" s="1811"/>
      <c r="BN37" s="1811">
        <f t="shared" si="52"/>
        <v>4.2328741748068524</v>
      </c>
      <c r="BO37" s="1811">
        <f t="shared" si="53"/>
        <v>2.8448582848066337</v>
      </c>
      <c r="BP37" s="1811">
        <f t="shared" si="54"/>
        <v>3.8046938828066743</v>
      </c>
      <c r="BQ37" s="1811">
        <f t="shared" si="55"/>
        <v>1.9558917711298704</v>
      </c>
      <c r="BR37" s="1811">
        <f t="shared" si="56"/>
        <v>0.60963488360019369</v>
      </c>
      <c r="BS37" s="1811">
        <f t="shared" si="57"/>
        <v>0.36061876061427256</v>
      </c>
      <c r="BT37" s="1811">
        <f t="shared" si="58"/>
        <v>2.4298543553182412</v>
      </c>
      <c r="BU37" s="1811">
        <f t="shared" si="59"/>
        <v>-1.3737926291628071</v>
      </c>
      <c r="BV37" s="1811">
        <f t="shared" si="60"/>
        <v>6.4871700643316217</v>
      </c>
      <c r="BY37" s="768" t="str">
        <f t="shared" si="115"/>
        <v>Summa långfristiga skulder</v>
      </c>
      <c r="BZ37" s="232">
        <f t="shared" si="122"/>
        <v>365.87640936383133</v>
      </c>
      <c r="CA37" s="240">
        <f t="shared" si="123"/>
        <v>371.07255881272999</v>
      </c>
      <c r="CB37" s="240">
        <f t="shared" si="124"/>
        <v>368.36303192866251</v>
      </c>
      <c r="CC37" s="888"/>
      <c r="CD37" s="888"/>
      <c r="CE37" s="888"/>
      <c r="CF37" s="768" t="str">
        <f>+[2]rapkvart!$A78</f>
        <v>Total long-term liabilities</v>
      </c>
      <c r="CG37" s="232">
        <f t="shared" si="61"/>
        <v>365.87640936383133</v>
      </c>
      <c r="CH37" s="240">
        <f t="shared" si="62"/>
        <v>371.07255881272999</v>
      </c>
      <c r="CI37" s="240">
        <f t="shared" si="125"/>
        <v>368.36303192866251</v>
      </c>
      <c r="CK37" s="888"/>
      <c r="CL37" s="768" t="str">
        <f t="shared" si="116"/>
        <v>Summa långfristiga skulder</v>
      </c>
      <c r="CM37" s="232">
        <f t="shared" si="126"/>
        <v>162.80000000000001</v>
      </c>
      <c r="CN37" s="1922">
        <f t="shared" si="78"/>
        <v>203.07640936383132</v>
      </c>
      <c r="CO37" s="232">
        <f t="shared" si="127"/>
        <v>365.87640936383133</v>
      </c>
      <c r="CP37" s="962"/>
      <c r="CQ37" s="1114"/>
      <c r="CR37" s="768" t="s">
        <v>481</v>
      </c>
      <c r="CS37" s="232">
        <f t="shared" si="128"/>
        <v>162.80000000000001</v>
      </c>
      <c r="CT37" s="1922">
        <f t="shared" si="128"/>
        <v>203.07640936383132</v>
      </c>
      <c r="CU37" s="232">
        <f t="shared" si="128"/>
        <v>365.87640936383133</v>
      </c>
      <c r="CW37" s="396"/>
    </row>
    <row r="38" spans="2:101" x14ac:dyDescent="0.15">
      <c r="B38" s="1803">
        <f t="shared" si="20"/>
        <v>0</v>
      </c>
      <c r="C38" s="426">
        <f t="shared" si="21"/>
        <v>30</v>
      </c>
      <c r="E38" s="1035" t="str">
        <f>+[2]rapkvart!B80</f>
        <v>Räntebärande skulder</v>
      </c>
      <c r="F38" s="1035"/>
      <c r="G38" s="1034"/>
      <c r="H38" s="963">
        <f>[2]rapkvart!S80</f>
        <v>33.5</v>
      </c>
      <c r="I38" s="963">
        <f>[2]rapkvart!T80</f>
        <v>31.3</v>
      </c>
      <c r="J38" s="963">
        <f>[2]rapkvart!U80</f>
        <v>30.4</v>
      </c>
      <c r="K38" s="963">
        <f>[2]rapkvart!V80</f>
        <v>30.5</v>
      </c>
      <c r="L38" s="963">
        <f>+[2]rapkvart!$O$80</f>
        <v>29.1</v>
      </c>
      <c r="M38" s="963">
        <f>+[2]rapkvart!$P$80</f>
        <v>71.3</v>
      </c>
      <c r="N38" s="963">
        <f>+[2]rapkvart!$Q$80</f>
        <v>121.1</v>
      </c>
      <c r="O38" s="963">
        <f>+[2]rapkvart!$R$80</f>
        <v>150.1</v>
      </c>
      <c r="P38" s="963">
        <f>+[2]rapkvart!$K$80</f>
        <v>120.3</v>
      </c>
      <c r="Q38" s="963">
        <f>+[2]rapkvart!$L$80</f>
        <v>53.5</v>
      </c>
      <c r="R38" s="963"/>
      <c r="S38" s="963"/>
      <c r="U38" s="807" t="str">
        <f t="shared" si="112"/>
        <v>Räntebärande skulder</v>
      </c>
      <c r="V38" s="230"/>
      <c r="W38" s="226">
        <f t="shared" si="117"/>
        <v>53.5</v>
      </c>
      <c r="X38" s="220">
        <f t="shared" si="118"/>
        <v>71.3</v>
      </c>
      <c r="Y38" s="220">
        <f t="shared" si="119"/>
        <v>150.1</v>
      </c>
      <c r="Z38" s="237"/>
      <c r="AA38" s="807" t="str">
        <f t="shared" si="25"/>
        <v xml:space="preserve"> Interest-bearing liabilities and provisions</v>
      </c>
      <c r="AB38" s="230"/>
      <c r="AC38" s="226">
        <f t="shared" si="120"/>
        <v>53.5</v>
      </c>
      <c r="AD38" s="220">
        <f t="shared" si="120"/>
        <v>71.3</v>
      </c>
      <c r="AE38" s="220">
        <f t="shared" si="120"/>
        <v>150.1</v>
      </c>
      <c r="AH38" s="1035" t="str">
        <f t="shared" si="113"/>
        <v>Räntebärande skulder</v>
      </c>
      <c r="AI38" s="1035"/>
      <c r="AJ38" s="1035"/>
      <c r="AK38" s="1099">
        <f t="shared" ref="AK38:AT39" si="139">H38</f>
        <v>33.5</v>
      </c>
      <c r="AL38" s="1099">
        <f t="shared" si="139"/>
        <v>31.3</v>
      </c>
      <c r="AM38" s="1099">
        <f t="shared" si="139"/>
        <v>30.4</v>
      </c>
      <c r="AN38" s="1099">
        <f t="shared" si="139"/>
        <v>30.5</v>
      </c>
      <c r="AO38" s="1099">
        <f t="shared" si="139"/>
        <v>29.1</v>
      </c>
      <c r="AP38" s="1099">
        <f t="shared" si="139"/>
        <v>71.3</v>
      </c>
      <c r="AQ38" s="1099">
        <f t="shared" si="139"/>
        <v>121.1</v>
      </c>
      <c r="AR38" s="1099">
        <f t="shared" si="139"/>
        <v>150.1</v>
      </c>
      <c r="AS38" s="1099">
        <f t="shared" si="139"/>
        <v>120.3</v>
      </c>
      <c r="AT38" s="1099">
        <f t="shared" si="139"/>
        <v>53.5</v>
      </c>
      <c r="AW38" s="1814" t="str">
        <f t="shared" si="114"/>
        <v>Räntebärande skulder</v>
      </c>
      <c r="AX38" s="1814"/>
      <c r="AY38" s="1307">
        <f t="shared" si="28"/>
        <v>0</v>
      </c>
      <c r="AZ38" s="1307">
        <f t="shared" si="29"/>
        <v>0</v>
      </c>
      <c r="BA38" s="1307">
        <f t="shared" si="30"/>
        <v>0</v>
      </c>
      <c r="BB38" s="1307">
        <f t="shared" si="31"/>
        <v>0</v>
      </c>
      <c r="BC38" s="1307">
        <f t="shared" si="32"/>
        <v>0</v>
      </c>
      <c r="BD38" s="1307">
        <f t="shared" si="33"/>
        <v>0</v>
      </c>
      <c r="BE38" s="1307">
        <f t="shared" si="34"/>
        <v>0</v>
      </c>
      <c r="BF38" s="1307">
        <f t="shared" si="35"/>
        <v>0</v>
      </c>
      <c r="BG38" s="1307">
        <f t="shared" si="36"/>
        <v>0</v>
      </c>
      <c r="BH38" s="1307">
        <f t="shared" si="37"/>
        <v>0</v>
      </c>
      <c r="BK38" s="1814" t="str">
        <f t="shared" si="38"/>
        <v>Räntebärande skulder</v>
      </c>
      <c r="BL38" s="1814"/>
      <c r="BM38" s="1307"/>
      <c r="BN38" s="1307">
        <f t="shared" si="52"/>
        <v>0</v>
      </c>
      <c r="BO38" s="1307">
        <f t="shared" si="53"/>
        <v>0</v>
      </c>
      <c r="BP38" s="1307">
        <f t="shared" si="54"/>
        <v>0</v>
      </c>
      <c r="BQ38" s="1307">
        <f t="shared" si="55"/>
        <v>0</v>
      </c>
      <c r="BR38" s="1307">
        <f t="shared" si="56"/>
        <v>0</v>
      </c>
      <c r="BS38" s="1307">
        <f t="shared" si="57"/>
        <v>0</v>
      </c>
      <c r="BT38" s="1307">
        <f t="shared" si="58"/>
        <v>0</v>
      </c>
      <c r="BU38" s="1307">
        <f t="shared" si="59"/>
        <v>0</v>
      </c>
      <c r="BV38" s="1307">
        <f t="shared" si="60"/>
        <v>0</v>
      </c>
      <c r="BY38" s="807" t="str">
        <f t="shared" si="115"/>
        <v>Räntebärande skulder</v>
      </c>
      <c r="BZ38" s="226">
        <f t="shared" si="122"/>
        <v>53.5</v>
      </c>
      <c r="CA38" s="220">
        <f t="shared" si="123"/>
        <v>71.3</v>
      </c>
      <c r="CB38" s="220">
        <f t="shared" si="124"/>
        <v>150.1</v>
      </c>
      <c r="CC38" s="888"/>
      <c r="CD38" s="888"/>
      <c r="CE38" s="888"/>
      <c r="CF38" s="807" t="str">
        <f>+[2]rapkvart!$A80</f>
        <v xml:space="preserve"> Interest-bearing liabilities and provisions</v>
      </c>
      <c r="CG38" s="226">
        <f t="shared" si="61"/>
        <v>53.5</v>
      </c>
      <c r="CH38" s="220">
        <f t="shared" si="62"/>
        <v>71.3</v>
      </c>
      <c r="CI38" s="220">
        <f t="shared" si="125"/>
        <v>150.1</v>
      </c>
      <c r="CK38" s="888"/>
      <c r="CL38" s="807" t="str">
        <f t="shared" si="116"/>
        <v>Räntebärande skulder</v>
      </c>
      <c r="CM38" s="226">
        <f t="shared" si="126"/>
        <v>53.5</v>
      </c>
      <c r="CN38" s="1914"/>
      <c r="CO38" s="226">
        <f t="shared" si="127"/>
        <v>53.5</v>
      </c>
      <c r="CP38" s="962"/>
      <c r="CQ38" s="1114"/>
      <c r="CR38" s="807" t="s">
        <v>482</v>
      </c>
      <c r="CS38" s="226">
        <f t="shared" si="128"/>
        <v>53.5</v>
      </c>
      <c r="CT38" s="1914"/>
      <c r="CU38" s="226">
        <f t="shared" si="128"/>
        <v>53.5</v>
      </c>
      <c r="CW38" s="396"/>
    </row>
    <row r="39" spans="2:101" x14ac:dyDescent="0.15">
      <c r="B39" s="1803">
        <f t="shared" si="20"/>
        <v>0</v>
      </c>
      <c r="C39" s="426">
        <f t="shared" si="21"/>
        <v>31</v>
      </c>
      <c r="E39" s="1035" t="str">
        <f>+[2]rapkvart!B81</f>
        <v>Ej räntebärande skulder</v>
      </c>
      <c r="F39" s="1035">
        <f>+[2]rapkvart!$C$80</f>
        <v>5</v>
      </c>
      <c r="G39" s="1035"/>
      <c r="H39" s="1099">
        <f>[2]rapkvart!S81</f>
        <v>610.9</v>
      </c>
      <c r="I39" s="1099">
        <f>[2]rapkvart!T81</f>
        <v>615.1</v>
      </c>
      <c r="J39" s="1099">
        <f>[2]rapkvart!U81</f>
        <v>532.29999999999995</v>
      </c>
      <c r="K39" s="1099">
        <f>[2]rapkvart!V81</f>
        <v>464.8</v>
      </c>
      <c r="L39" s="1099">
        <f>+[2]rapkvart!$O$81</f>
        <v>530.79999999999995</v>
      </c>
      <c r="M39" s="1099">
        <f>+[2]rapkvart!$P$81</f>
        <v>529.20000000000005</v>
      </c>
      <c r="N39" s="1099">
        <f>+[2]rapkvart!$Q$81</f>
        <v>460.3</v>
      </c>
      <c r="O39" s="1099">
        <f>+[2]rapkvart!$R$81</f>
        <v>365.3</v>
      </c>
      <c r="P39" s="1099">
        <f>+[2]rapkvart!$K$81</f>
        <v>434.2</v>
      </c>
      <c r="Q39" s="1099">
        <f>+[2]rapkvart!$L$81</f>
        <v>456.4</v>
      </c>
      <c r="R39" s="1099"/>
      <c r="S39" s="1099"/>
      <c r="U39" s="807" t="str">
        <f t="shared" si="112"/>
        <v>Ej räntebärande skulder</v>
      </c>
      <c r="V39" s="230"/>
      <c r="W39" s="227">
        <f t="shared" si="117"/>
        <v>456.4</v>
      </c>
      <c r="X39" s="234">
        <f t="shared" si="118"/>
        <v>529.20000000000005</v>
      </c>
      <c r="Y39" s="234">
        <f t="shared" si="119"/>
        <v>365.3</v>
      </c>
      <c r="Z39" s="237"/>
      <c r="AA39" s="807" t="str">
        <f t="shared" si="25"/>
        <v xml:space="preserve"> Interest-free liabilities</v>
      </c>
      <c r="AB39" s="230"/>
      <c r="AC39" s="227">
        <f t="shared" si="120"/>
        <v>456.4</v>
      </c>
      <c r="AD39" s="234">
        <f t="shared" si="120"/>
        <v>529.20000000000005</v>
      </c>
      <c r="AE39" s="234">
        <f t="shared" si="120"/>
        <v>365.3</v>
      </c>
      <c r="AH39" s="1035" t="str">
        <f t="shared" si="113"/>
        <v>Ej räntebärande skulder</v>
      </c>
      <c r="AI39" s="1035"/>
      <c r="AJ39" s="1035"/>
      <c r="AK39" s="1099">
        <f t="shared" si="139"/>
        <v>610.9</v>
      </c>
      <c r="AL39" s="1099">
        <f t="shared" si="139"/>
        <v>615.1</v>
      </c>
      <c r="AM39" s="1099">
        <f t="shared" si="139"/>
        <v>532.29999999999995</v>
      </c>
      <c r="AN39" s="1099">
        <f t="shared" si="139"/>
        <v>464.8</v>
      </c>
      <c r="AO39" s="1099">
        <f t="shared" si="139"/>
        <v>530.79999999999995</v>
      </c>
      <c r="AP39" s="1099">
        <f t="shared" si="139"/>
        <v>529.20000000000005</v>
      </c>
      <c r="AQ39" s="1099">
        <f t="shared" si="139"/>
        <v>460.3</v>
      </c>
      <c r="AR39" s="1099">
        <f t="shared" si="139"/>
        <v>365.3</v>
      </c>
      <c r="AS39" s="1099">
        <f t="shared" si="139"/>
        <v>434.2</v>
      </c>
      <c r="AT39" s="2459">
        <f t="shared" si="139"/>
        <v>456.4</v>
      </c>
      <c r="AW39" s="1814" t="str">
        <f t="shared" si="114"/>
        <v>Ej räntebärande skulder</v>
      </c>
      <c r="AX39" s="1814"/>
      <c r="AY39" s="1805">
        <f t="shared" si="28"/>
        <v>0</v>
      </c>
      <c r="AZ39" s="1805">
        <f t="shared" si="29"/>
        <v>0</v>
      </c>
      <c r="BA39" s="1805">
        <f t="shared" si="30"/>
        <v>0</v>
      </c>
      <c r="BB39" s="1805">
        <f t="shared" si="31"/>
        <v>0</v>
      </c>
      <c r="BC39" s="1805">
        <f t="shared" si="32"/>
        <v>0</v>
      </c>
      <c r="BD39" s="1805">
        <f t="shared" si="33"/>
        <v>0</v>
      </c>
      <c r="BE39" s="1805">
        <f t="shared" si="34"/>
        <v>0</v>
      </c>
      <c r="BF39" s="1805">
        <f t="shared" si="35"/>
        <v>0</v>
      </c>
      <c r="BG39" s="1805">
        <f t="shared" si="36"/>
        <v>0</v>
      </c>
      <c r="BH39" s="1805">
        <f t="shared" si="37"/>
        <v>0</v>
      </c>
      <c r="BK39" s="1814" t="str">
        <f t="shared" si="38"/>
        <v>Ej räntebärande skulder</v>
      </c>
      <c r="BL39" s="1814"/>
      <c r="BM39" s="1805"/>
      <c r="BN39" s="1805">
        <f t="shared" si="52"/>
        <v>0</v>
      </c>
      <c r="BO39" s="1805">
        <f t="shared" si="53"/>
        <v>0</v>
      </c>
      <c r="BP39" s="1805">
        <f t="shared" si="54"/>
        <v>0</v>
      </c>
      <c r="BQ39" s="1805">
        <f t="shared" si="55"/>
        <v>0</v>
      </c>
      <c r="BR39" s="1805">
        <f t="shared" si="56"/>
        <v>0</v>
      </c>
      <c r="BS39" s="1805">
        <f t="shared" si="57"/>
        <v>0</v>
      </c>
      <c r="BT39" s="1805">
        <f t="shared" si="58"/>
        <v>0</v>
      </c>
      <c r="BU39" s="1805">
        <f t="shared" si="59"/>
        <v>0</v>
      </c>
      <c r="BV39" s="1805">
        <f t="shared" si="60"/>
        <v>0</v>
      </c>
      <c r="BY39" s="807" t="str">
        <f t="shared" si="115"/>
        <v>Ej räntebärande skulder</v>
      </c>
      <c r="BZ39" s="227">
        <f t="shared" si="122"/>
        <v>456.4</v>
      </c>
      <c r="CA39" s="234">
        <f t="shared" si="123"/>
        <v>529.20000000000005</v>
      </c>
      <c r="CB39" s="234">
        <f t="shared" si="124"/>
        <v>365.3</v>
      </c>
      <c r="CC39" s="888"/>
      <c r="CD39" s="888"/>
      <c r="CE39" s="888"/>
      <c r="CF39" s="2234" t="str">
        <f>+[2]rapkvart!$A81</f>
        <v xml:space="preserve"> Interest-free liabilities</v>
      </c>
      <c r="CG39" s="228">
        <f t="shared" si="61"/>
        <v>456.4</v>
      </c>
      <c r="CH39" s="239">
        <f t="shared" si="62"/>
        <v>529.20000000000005</v>
      </c>
      <c r="CI39" s="239">
        <f t="shared" si="125"/>
        <v>365.3</v>
      </c>
      <c r="CK39" s="888"/>
      <c r="CL39" s="807" t="str">
        <f t="shared" si="116"/>
        <v>Ej räntebärande skulder</v>
      </c>
      <c r="CM39" s="227">
        <f t="shared" si="126"/>
        <v>456.4</v>
      </c>
      <c r="CN39" s="1915"/>
      <c r="CO39" s="227">
        <f t="shared" si="127"/>
        <v>456.4</v>
      </c>
      <c r="CP39" s="962"/>
      <c r="CQ39" s="1114"/>
      <c r="CR39" s="807" t="s">
        <v>480</v>
      </c>
      <c r="CS39" s="227">
        <f t="shared" si="128"/>
        <v>456.4</v>
      </c>
      <c r="CT39" s="1915"/>
      <c r="CU39" s="227">
        <f t="shared" si="128"/>
        <v>456.4</v>
      </c>
      <c r="CW39" s="396"/>
    </row>
    <row r="40" spans="2:101" ht="9.75" thickBot="1" x14ac:dyDescent="0.2">
      <c r="B40" s="1803">
        <f t="shared" si="20"/>
        <v>0</v>
      </c>
      <c r="C40" s="426">
        <f t="shared" si="21"/>
        <v>32</v>
      </c>
      <c r="E40" s="1039" t="str">
        <f>+[2]rapkvart!B82</f>
        <v>Summa kortfristiga skulder</v>
      </c>
      <c r="F40" s="1040"/>
      <c r="G40" s="1040"/>
      <c r="H40" s="1102">
        <f>[2]rapkvart!S82</f>
        <v>644.4</v>
      </c>
      <c r="I40" s="1102">
        <f>[2]rapkvart!T82</f>
        <v>646.4</v>
      </c>
      <c r="J40" s="1102">
        <f>[2]rapkvart!U82</f>
        <v>562.69999999999993</v>
      </c>
      <c r="K40" s="1102">
        <f>[2]rapkvart!V82</f>
        <v>495.3</v>
      </c>
      <c r="L40" s="1102">
        <f>+[2]rapkvart!$O$82</f>
        <v>559.9</v>
      </c>
      <c r="M40" s="1102">
        <f>+[2]rapkvart!$P$82</f>
        <v>600.5</v>
      </c>
      <c r="N40" s="1102">
        <f>+[2]rapkvart!$Q$82</f>
        <v>581.4</v>
      </c>
      <c r="O40" s="1102">
        <f>+[2]rapkvart!$R$82</f>
        <v>515.4</v>
      </c>
      <c r="P40" s="1102">
        <f>+[2]rapkvart!$K$82</f>
        <v>554.5</v>
      </c>
      <c r="Q40" s="1102">
        <f>+[2]rapkvart!$L$82</f>
        <v>509.9</v>
      </c>
      <c r="R40" s="1102"/>
      <c r="S40" s="1102"/>
      <c r="U40" s="1863" t="str">
        <f t="shared" si="112"/>
        <v>Summa kortfristiga skulder</v>
      </c>
      <c r="V40" s="1855"/>
      <c r="W40" s="1856">
        <f t="shared" si="117"/>
        <v>509.9</v>
      </c>
      <c r="X40" s="1857">
        <f t="shared" si="118"/>
        <v>600.5</v>
      </c>
      <c r="Y40" s="1857">
        <f t="shared" si="119"/>
        <v>515.4</v>
      </c>
      <c r="Z40" s="1211"/>
      <c r="AA40" s="1863" t="str">
        <f t="shared" si="25"/>
        <v>Total short-term liabilities</v>
      </c>
      <c r="AB40" s="1855"/>
      <c r="AC40" s="1856">
        <f t="shared" si="120"/>
        <v>509.9</v>
      </c>
      <c r="AD40" s="1857">
        <f t="shared" si="120"/>
        <v>600.5</v>
      </c>
      <c r="AE40" s="1857">
        <f t="shared" si="120"/>
        <v>515.4</v>
      </c>
      <c r="AH40" s="1039" t="str">
        <f t="shared" si="113"/>
        <v>Summa kortfristiga skulder</v>
      </c>
      <c r="AI40" s="1039"/>
      <c r="AJ40" s="1039"/>
      <c r="AK40" s="1068">
        <f>SUM(AK38:AK39)</f>
        <v>644.4</v>
      </c>
      <c r="AL40" s="1068">
        <f t="shared" ref="AL40:AS40" si="140">SUM(AL38:AL39)</f>
        <v>646.4</v>
      </c>
      <c r="AM40" s="1068">
        <f t="shared" si="140"/>
        <v>562.69999999999993</v>
      </c>
      <c r="AN40" s="1068">
        <f t="shared" si="140"/>
        <v>495.3</v>
      </c>
      <c r="AO40" s="1068">
        <f t="shared" si="140"/>
        <v>559.9</v>
      </c>
      <c r="AP40" s="1068">
        <f t="shared" si="140"/>
        <v>600.5</v>
      </c>
      <c r="AQ40" s="1068">
        <f t="shared" si="140"/>
        <v>581.4</v>
      </c>
      <c r="AR40" s="1068">
        <f t="shared" si="140"/>
        <v>515.4</v>
      </c>
      <c r="AS40" s="1068">
        <f t="shared" si="140"/>
        <v>554.5</v>
      </c>
      <c r="AT40" s="1068">
        <f t="shared" ref="AT40" si="141">SUM(AT38:AT39)</f>
        <v>509.9</v>
      </c>
      <c r="AW40" s="1817" t="str">
        <f t="shared" si="114"/>
        <v>Summa kortfristiga skulder</v>
      </c>
      <c r="AX40" s="1817"/>
      <c r="AY40" s="1808">
        <f t="shared" si="28"/>
        <v>0</v>
      </c>
      <c r="AZ40" s="1808">
        <f t="shared" si="29"/>
        <v>0</v>
      </c>
      <c r="BA40" s="1808">
        <f t="shared" si="30"/>
        <v>0</v>
      </c>
      <c r="BB40" s="1808">
        <f t="shared" si="31"/>
        <v>0</v>
      </c>
      <c r="BC40" s="1808">
        <f t="shared" si="32"/>
        <v>0</v>
      </c>
      <c r="BD40" s="1808">
        <f t="shared" si="33"/>
        <v>0</v>
      </c>
      <c r="BE40" s="1808">
        <f t="shared" si="34"/>
        <v>0</v>
      </c>
      <c r="BF40" s="1808">
        <f t="shared" si="35"/>
        <v>0</v>
      </c>
      <c r="BG40" s="1808">
        <f t="shared" si="36"/>
        <v>0</v>
      </c>
      <c r="BH40" s="1808">
        <f t="shared" si="37"/>
        <v>0</v>
      </c>
      <c r="BK40" s="1817" t="str">
        <f t="shared" si="38"/>
        <v>Summa kortfristiga skulder</v>
      </c>
      <c r="BL40" s="1817"/>
      <c r="BM40" s="1808"/>
      <c r="BN40" s="1808">
        <f t="shared" si="52"/>
        <v>0</v>
      </c>
      <c r="BO40" s="1808">
        <f t="shared" si="53"/>
        <v>0</v>
      </c>
      <c r="BP40" s="1808">
        <f t="shared" si="54"/>
        <v>0</v>
      </c>
      <c r="BQ40" s="1808">
        <f t="shared" si="55"/>
        <v>0</v>
      </c>
      <c r="BR40" s="1808">
        <f t="shared" si="56"/>
        <v>0</v>
      </c>
      <c r="BS40" s="1808">
        <f t="shared" si="57"/>
        <v>0</v>
      </c>
      <c r="BT40" s="1808">
        <f t="shared" si="58"/>
        <v>0</v>
      </c>
      <c r="BU40" s="1808">
        <f t="shared" si="59"/>
        <v>0</v>
      </c>
      <c r="BV40" s="1808">
        <f t="shared" si="60"/>
        <v>0</v>
      </c>
      <c r="BY40" s="1863" t="str">
        <f t="shared" si="115"/>
        <v>Summa kortfristiga skulder</v>
      </c>
      <c r="BZ40" s="1856">
        <f t="shared" si="122"/>
        <v>509.9</v>
      </c>
      <c r="CA40" s="1857">
        <f t="shared" si="123"/>
        <v>600.5</v>
      </c>
      <c r="CB40" s="1857">
        <f t="shared" si="124"/>
        <v>515.4</v>
      </c>
      <c r="CC40" s="888"/>
      <c r="CD40" s="888"/>
      <c r="CE40" s="888"/>
      <c r="CF40" s="1863" t="str">
        <f>+[2]rapkvart!$A82</f>
        <v>Total short-term liabilities</v>
      </c>
      <c r="CG40" s="1856">
        <f t="shared" si="61"/>
        <v>509.9</v>
      </c>
      <c r="CH40" s="1857">
        <f t="shared" si="62"/>
        <v>600.5</v>
      </c>
      <c r="CI40" s="1857">
        <f t="shared" si="125"/>
        <v>515.4</v>
      </c>
      <c r="CK40" s="888"/>
      <c r="CL40" s="1863" t="str">
        <f t="shared" si="116"/>
        <v>Summa kortfristiga skulder</v>
      </c>
      <c r="CM40" s="1856">
        <f t="shared" si="126"/>
        <v>509.9</v>
      </c>
      <c r="CN40" s="1919">
        <f t="shared" si="78"/>
        <v>0</v>
      </c>
      <c r="CO40" s="1856">
        <f t="shared" si="127"/>
        <v>509.9</v>
      </c>
      <c r="CP40" s="962"/>
      <c r="CQ40" s="1114"/>
      <c r="CR40" s="1863" t="s">
        <v>483</v>
      </c>
      <c r="CS40" s="1856">
        <f t="shared" si="128"/>
        <v>509.9</v>
      </c>
      <c r="CT40" s="1919">
        <f t="shared" si="128"/>
        <v>0</v>
      </c>
      <c r="CU40" s="1856">
        <f t="shared" si="128"/>
        <v>509.9</v>
      </c>
      <c r="CW40" s="396"/>
    </row>
    <row r="41" spans="2:101" x14ac:dyDescent="0.15">
      <c r="B41" s="1803">
        <f t="shared" si="20"/>
        <v>0</v>
      </c>
      <c r="C41" s="426">
        <f t="shared" si="21"/>
        <v>33</v>
      </c>
      <c r="E41" s="417" t="str">
        <f>+[2]rapkvart!B83</f>
        <v>Summa eget kapital och skulder</v>
      </c>
      <c r="F41" s="815"/>
      <c r="G41" s="815"/>
      <c r="H41" s="1101">
        <f>[2]rapkvart!S83</f>
        <v>1492</v>
      </c>
      <c r="I41" s="1101">
        <f>[2]rapkvart!T83</f>
        <v>1490.5</v>
      </c>
      <c r="J41" s="1101">
        <f>[2]rapkvart!U83</f>
        <v>1417.6999999999998</v>
      </c>
      <c r="K41" s="1101">
        <f>[2]rapkvart!V83</f>
        <v>1357.8999999999999</v>
      </c>
      <c r="L41" s="1101">
        <f>+[2]rapkvart!$O$83</f>
        <v>1464.6999999999998</v>
      </c>
      <c r="M41" s="1101">
        <f>+[2]rapkvart!$P$83</f>
        <v>1473.3</v>
      </c>
      <c r="N41" s="1101">
        <f>+[2]rapkvart!$Q$83</f>
        <v>1467.8</v>
      </c>
      <c r="O41" s="1101">
        <f>+[2]rapkvart!$R$83</f>
        <v>1400.6</v>
      </c>
      <c r="P41" s="1101">
        <f>+[2]rapkvart!$K$83</f>
        <v>1456.3</v>
      </c>
      <c r="Q41" s="1101">
        <f>+[2]rapkvart!$L$83</f>
        <v>1478.1999999999998</v>
      </c>
      <c r="R41" s="1101"/>
      <c r="S41" s="1101"/>
      <c r="U41" s="257" t="str">
        <f t="shared" si="112"/>
        <v>Summa eget kapital och skulder</v>
      </c>
      <c r="V41" s="938"/>
      <c r="W41" s="229">
        <f t="shared" si="117"/>
        <v>1478.1999999999998</v>
      </c>
      <c r="X41" s="235">
        <f t="shared" si="118"/>
        <v>1473.3</v>
      </c>
      <c r="Y41" s="235">
        <f t="shared" si="119"/>
        <v>1400.6</v>
      </c>
      <c r="Z41" s="235"/>
      <c r="AA41" s="257" t="str">
        <f t="shared" si="25"/>
        <v>Total shareholders’ equity and liabilities</v>
      </c>
      <c r="AB41" s="938"/>
      <c r="AC41" s="229">
        <f t="shared" si="120"/>
        <v>1478.1999999999998</v>
      </c>
      <c r="AD41" s="235">
        <f t="shared" si="120"/>
        <v>1473.3</v>
      </c>
      <c r="AE41" s="235">
        <f t="shared" si="120"/>
        <v>1400.6</v>
      </c>
      <c r="AH41" s="417" t="str">
        <f t="shared" si="113"/>
        <v>Summa eget kapital och skulder</v>
      </c>
      <c r="AI41" s="417"/>
      <c r="AJ41" s="417"/>
      <c r="AK41" s="1069">
        <f t="shared" ref="AK41" si="142">AK40+AK37+AK32</f>
        <v>2374.1582806581546</v>
      </c>
      <c r="AL41" s="1069">
        <f t="shared" ref="AL41" si="143">AL40+AL37+AL32</f>
        <v>2393.5916504387696</v>
      </c>
      <c r="AM41" s="1069">
        <f t="shared" ref="AM41" si="144">AM40+AM37+AM32</f>
        <v>2334.2162052193848</v>
      </c>
      <c r="AN41" s="1069">
        <f t="shared" ref="AN41" si="145">AN40+AN37+AN32</f>
        <v>2292.885593</v>
      </c>
      <c r="AO41" s="1069">
        <f t="shared" ref="AO41" si="146">AO40+AO37+AO32</f>
        <v>2409.1802132482026</v>
      </c>
      <c r="AP41" s="1069">
        <f t="shared" ref="AP41" si="147">AP40+AP37+AP32</f>
        <v>2420.739605887039</v>
      </c>
      <c r="AQ41" s="1069">
        <f t="shared" ref="AQ41" si="148">AQ40+AQ37+AQ32</f>
        <v>2416.9901823948753</v>
      </c>
      <c r="AR41" s="1069">
        <f t="shared" ref="AR41" si="149">AR40+AR37+AR32</f>
        <v>2361.585591886711</v>
      </c>
      <c r="AS41" s="1069">
        <f t="shared" ref="AS41:AT41" si="150">AS40+AS37+AS32</f>
        <v>2410.6166956286397</v>
      </c>
      <c r="AT41" s="1069">
        <f t="shared" si="150"/>
        <v>2464.0078124457832</v>
      </c>
      <c r="AW41" s="343" t="str">
        <f t="shared" si="114"/>
        <v>Summa eget kapital och skulder</v>
      </c>
      <c r="AX41" s="343"/>
      <c r="AY41" s="1309">
        <f t="shared" si="28"/>
        <v>882.15828065815458</v>
      </c>
      <c r="AZ41" s="1309">
        <f t="shared" si="29"/>
        <v>903.09165043876965</v>
      </c>
      <c r="BA41" s="1309">
        <f t="shared" si="30"/>
        <v>916.51620521938503</v>
      </c>
      <c r="BB41" s="1309">
        <f t="shared" si="31"/>
        <v>934.98559300000011</v>
      </c>
      <c r="BC41" s="1309">
        <f t="shared" si="32"/>
        <v>944.48021324820274</v>
      </c>
      <c r="BD41" s="1309">
        <f t="shared" si="33"/>
        <v>947.43960588703908</v>
      </c>
      <c r="BE41" s="1309">
        <f t="shared" si="34"/>
        <v>949.19018239487536</v>
      </c>
      <c r="BF41" s="1309">
        <f t="shared" si="35"/>
        <v>960.98559188671106</v>
      </c>
      <c r="BG41" s="1309">
        <f t="shared" si="36"/>
        <v>954.31669562863976</v>
      </c>
      <c r="BH41" s="1309">
        <f t="shared" si="37"/>
        <v>985.80781244578338</v>
      </c>
      <c r="BK41" s="343" t="str">
        <f t="shared" si="38"/>
        <v>Summa eget kapital och skulder</v>
      </c>
      <c r="BL41" s="343"/>
      <c r="BM41" s="1309"/>
      <c r="BN41" s="1309">
        <f t="shared" si="52"/>
        <v>20.933369780615067</v>
      </c>
      <c r="BO41" s="1309">
        <f t="shared" si="53"/>
        <v>13.424554780615381</v>
      </c>
      <c r="BP41" s="1309">
        <f t="shared" si="54"/>
        <v>18.469387780615079</v>
      </c>
      <c r="BQ41" s="1309">
        <f t="shared" si="55"/>
        <v>9.4946202482026365</v>
      </c>
      <c r="BR41" s="1309">
        <f t="shared" si="56"/>
        <v>2.9593926388363343</v>
      </c>
      <c r="BS41" s="1309">
        <f t="shared" si="57"/>
        <v>1.7505765078362856</v>
      </c>
      <c r="BT41" s="1309">
        <f t="shared" si="58"/>
        <v>11.795409491835699</v>
      </c>
      <c r="BU41" s="1309">
        <f t="shared" si="59"/>
        <v>-6.6688962580712996</v>
      </c>
      <c r="BV41" s="1309">
        <f t="shared" si="60"/>
        <v>31.49111681714362</v>
      </c>
      <c r="BY41" s="257" t="str">
        <f t="shared" si="115"/>
        <v>Summa eget kapital och skulder</v>
      </c>
      <c r="BZ41" s="229">
        <f t="shared" si="122"/>
        <v>2464.0078124457832</v>
      </c>
      <c r="CA41" s="235">
        <f t="shared" si="123"/>
        <v>2420.739605887039</v>
      </c>
      <c r="CB41" s="235">
        <f t="shared" si="124"/>
        <v>2361.585591886711</v>
      </c>
      <c r="CC41" s="888"/>
      <c r="CD41" s="888"/>
      <c r="CE41" s="888"/>
      <c r="CF41" s="257" t="str">
        <f>+[2]rapkvart!$A83</f>
        <v>Total shareholders’ equity and liabilities</v>
      </c>
      <c r="CG41" s="229">
        <f t="shared" si="61"/>
        <v>2464.0078124457832</v>
      </c>
      <c r="CH41" s="235">
        <f t="shared" si="62"/>
        <v>2420.739605887039</v>
      </c>
      <c r="CI41" s="235">
        <f t="shared" si="125"/>
        <v>2361.585591886711</v>
      </c>
      <c r="CK41" s="888"/>
      <c r="CL41" s="257" t="str">
        <f t="shared" si="116"/>
        <v>Summa eget kapital och skulder</v>
      </c>
      <c r="CM41" s="229">
        <f t="shared" si="126"/>
        <v>1478.1999999999998</v>
      </c>
      <c r="CN41" s="1209">
        <f t="shared" si="78"/>
        <v>985.80781244578338</v>
      </c>
      <c r="CO41" s="229">
        <f t="shared" si="127"/>
        <v>2464.0078124457832</v>
      </c>
      <c r="CP41" s="962"/>
      <c r="CQ41" s="1114"/>
      <c r="CR41" s="257" t="s">
        <v>484</v>
      </c>
      <c r="CS41" s="229">
        <f t="shared" si="128"/>
        <v>1478.1999999999998</v>
      </c>
      <c r="CT41" s="1209">
        <f t="shared" si="128"/>
        <v>985.80781244578338</v>
      </c>
      <c r="CU41" s="229">
        <f t="shared" si="128"/>
        <v>2464.0078124457832</v>
      </c>
      <c r="CW41" s="396"/>
    </row>
    <row r="42" spans="2:101" x14ac:dyDescent="0.15">
      <c r="AN42" s="398"/>
      <c r="AR42" s="398"/>
      <c r="AS42" s="398"/>
      <c r="AT42" s="398"/>
      <c r="AZ42" s="1868">
        <f t="shared" ref="AZ42:BH42" si="151">AZ41/AY41-1</f>
        <v>2.3729720889767325E-2</v>
      </c>
      <c r="BA42" s="1869">
        <f t="shared" si="151"/>
        <v>1.4865107848237802E-2</v>
      </c>
      <c r="BB42" s="1869">
        <f t="shared" si="151"/>
        <v>2.0151730733658058E-2</v>
      </c>
      <c r="BC42" s="1869">
        <f t="shared" si="151"/>
        <v>1.0154830533525283E-2</v>
      </c>
      <c r="BD42" s="1869">
        <f t="shared" si="151"/>
        <v>3.133355889646916E-3</v>
      </c>
      <c r="BE42" s="1869">
        <f t="shared" si="151"/>
        <v>1.8476919235366207E-3</v>
      </c>
      <c r="BF42" s="1869">
        <f t="shared" si="151"/>
        <v>1.2426813625563415E-2</v>
      </c>
      <c r="BG42" s="1869">
        <f t="shared" si="151"/>
        <v>-6.9396422947176628E-3</v>
      </c>
      <c r="BH42" s="1869">
        <f t="shared" si="151"/>
        <v>3.299860199595428E-2</v>
      </c>
      <c r="BZ42" s="888"/>
      <c r="CA42" s="888"/>
      <c r="CB42" s="888"/>
      <c r="CC42" s="888"/>
      <c r="CD42" s="888"/>
      <c r="CE42" s="888"/>
      <c r="CF42" s="888"/>
      <c r="CG42" s="888"/>
      <c r="CH42" s="888"/>
      <c r="CI42" s="888"/>
      <c r="CK42" s="888"/>
      <c r="CL42" s="888"/>
      <c r="CM42" s="962"/>
      <c r="CN42" s="962"/>
      <c r="CO42" s="962"/>
      <c r="CP42" s="962"/>
      <c r="CQ42" s="888"/>
      <c r="CR42" s="1115"/>
      <c r="CS42" s="962"/>
      <c r="CT42" s="962"/>
      <c r="CU42" s="962"/>
      <c r="CW42" s="396"/>
    </row>
    <row r="43" spans="2:101" s="401" customFormat="1" x14ac:dyDescent="0.15">
      <c r="E43" s="421" t="s">
        <v>188</v>
      </c>
      <c r="F43" s="820"/>
      <c r="G43" s="820"/>
      <c r="H43" s="820"/>
      <c r="I43" s="820"/>
      <c r="J43" s="820"/>
      <c r="K43" s="820"/>
      <c r="L43" s="820"/>
      <c r="M43" s="820"/>
      <c r="N43" s="820"/>
      <c r="O43" s="820"/>
      <c r="P43" s="820"/>
      <c r="Q43" s="820"/>
      <c r="R43" s="820"/>
      <c r="S43" s="820"/>
      <c r="U43" s="401" t="str">
        <f>$E43</f>
        <v>Check</v>
      </c>
      <c r="W43" s="396"/>
      <c r="X43" s="396"/>
      <c r="Y43" s="396"/>
      <c r="Z43" s="796"/>
      <c r="AA43" s="401" t="str">
        <f>$E43</f>
        <v>Check</v>
      </c>
      <c r="AC43" s="396"/>
      <c r="AD43" s="396"/>
      <c r="AE43" s="396"/>
      <c r="AF43" s="396"/>
      <c r="AG43" s="396"/>
      <c r="AH43" s="401" t="str">
        <f>$E43</f>
        <v>Check</v>
      </c>
      <c r="AN43" s="820"/>
      <c r="AR43" s="820"/>
      <c r="AS43" s="820"/>
      <c r="AT43" s="820"/>
      <c r="AW43" s="401" t="str">
        <f>$E43</f>
        <v>Check</v>
      </c>
      <c r="BK43" s="401" t="str">
        <f>$E43</f>
        <v>Check</v>
      </c>
      <c r="BY43" s="401" t="str">
        <f>$E43</f>
        <v>Check</v>
      </c>
      <c r="CF43" s="401" t="s">
        <v>188</v>
      </c>
      <c r="CL43" s="401" t="str">
        <f>$E43</f>
        <v>Check</v>
      </c>
      <c r="CM43" s="820"/>
      <c r="CN43" s="820"/>
      <c r="CO43" s="820"/>
      <c r="CP43" s="820"/>
      <c r="CR43" s="401" t="str">
        <f>$E43</f>
        <v>Check</v>
      </c>
      <c r="CS43" s="820"/>
      <c r="CT43" s="820"/>
      <c r="CU43" s="820"/>
      <c r="CV43" s="396"/>
    </row>
    <row r="44" spans="2:101" x14ac:dyDescent="0.15">
      <c r="E44" s="214"/>
      <c r="F44" s="214"/>
      <c r="G44" s="214"/>
      <c r="H44" s="214">
        <f>H$2</f>
        <v>2403</v>
      </c>
      <c r="I44" s="214">
        <f>I$2</f>
        <v>2406</v>
      </c>
      <c r="J44" s="214">
        <f>J$2</f>
        <v>2409</v>
      </c>
      <c r="K44" s="214">
        <f>K$2</f>
        <v>2412</v>
      </c>
      <c r="L44" s="214">
        <f>L$2</f>
        <v>2503</v>
      </c>
      <c r="M44" s="214">
        <f t="shared" ref="M44:Q44" si="152">M$2</f>
        <v>2506</v>
      </c>
      <c r="N44" s="214">
        <f t="shared" si="152"/>
        <v>2509</v>
      </c>
      <c r="O44" s="214">
        <f t="shared" si="152"/>
        <v>2512</v>
      </c>
      <c r="P44" s="214">
        <f t="shared" si="152"/>
        <v>2603</v>
      </c>
      <c r="Q44" s="214">
        <f t="shared" si="152"/>
        <v>2606</v>
      </c>
      <c r="R44" s="214"/>
      <c r="S44" s="214"/>
      <c r="U44" s="214"/>
      <c r="V44" s="214"/>
      <c r="W44" s="214"/>
      <c r="X44" s="214"/>
      <c r="Y44" s="214"/>
      <c r="AA44" s="214"/>
      <c r="AB44" s="214"/>
      <c r="AC44" s="214"/>
      <c r="AD44" s="214"/>
      <c r="AE44" s="214"/>
      <c r="AH44" s="214"/>
      <c r="AI44" s="214"/>
      <c r="AJ44" s="214"/>
      <c r="AK44" s="214">
        <f t="shared" ref="AK44:AT44" si="153">H44</f>
        <v>2403</v>
      </c>
      <c r="AL44" s="214">
        <f t="shared" si="153"/>
        <v>2406</v>
      </c>
      <c r="AM44" s="214">
        <f t="shared" si="153"/>
        <v>2409</v>
      </c>
      <c r="AN44" s="214">
        <f t="shared" si="153"/>
        <v>2412</v>
      </c>
      <c r="AO44" s="214">
        <f t="shared" si="153"/>
        <v>2503</v>
      </c>
      <c r="AP44" s="214">
        <f t="shared" si="153"/>
        <v>2506</v>
      </c>
      <c r="AQ44" s="214">
        <f t="shared" si="153"/>
        <v>2509</v>
      </c>
      <c r="AR44" s="214">
        <f t="shared" si="153"/>
        <v>2512</v>
      </c>
      <c r="AS44" s="214">
        <f t="shared" si="153"/>
        <v>2603</v>
      </c>
      <c r="AT44" s="214">
        <f t="shared" si="153"/>
        <v>2606</v>
      </c>
      <c r="AU44" s="401"/>
      <c r="AW44" s="422"/>
      <c r="AX44" s="422"/>
      <c r="AY44" s="214">
        <f t="shared" ref="AY44:BH44" si="154">AK44</f>
        <v>2403</v>
      </c>
      <c r="AZ44" s="214">
        <f t="shared" si="154"/>
        <v>2406</v>
      </c>
      <c r="BA44" s="214">
        <f t="shared" si="154"/>
        <v>2409</v>
      </c>
      <c r="BB44" s="214">
        <f t="shared" si="154"/>
        <v>2412</v>
      </c>
      <c r="BC44" s="214">
        <f t="shared" si="154"/>
        <v>2503</v>
      </c>
      <c r="BD44" s="214">
        <f t="shared" si="154"/>
        <v>2506</v>
      </c>
      <c r="BE44" s="214">
        <f t="shared" si="154"/>
        <v>2509</v>
      </c>
      <c r="BF44" s="214">
        <f t="shared" si="154"/>
        <v>2512</v>
      </c>
      <c r="BG44" s="214">
        <f t="shared" si="154"/>
        <v>2603</v>
      </c>
      <c r="BH44" s="214">
        <f t="shared" si="154"/>
        <v>2606</v>
      </c>
      <c r="BK44" s="422"/>
      <c r="BL44" s="422"/>
      <c r="BM44" s="214">
        <f t="shared" ref="BM44" si="155">AY44</f>
        <v>2403</v>
      </c>
      <c r="BN44" s="214">
        <f t="shared" ref="BN44" si="156">AZ44</f>
        <v>2406</v>
      </c>
      <c r="BO44" s="214">
        <f t="shared" ref="BO44" si="157">BA44</f>
        <v>2409</v>
      </c>
      <c r="BP44" s="214">
        <f t="shared" ref="BP44" si="158">BB44</f>
        <v>2412</v>
      </c>
      <c r="BQ44" s="214">
        <f t="shared" ref="BQ44" si="159">BC44</f>
        <v>2503</v>
      </c>
      <c r="BR44" s="214">
        <f t="shared" ref="BR44" si="160">BD44</f>
        <v>2506</v>
      </c>
      <c r="BS44" s="214">
        <f t="shared" ref="BS44" si="161">BE44</f>
        <v>2509</v>
      </c>
      <c r="BT44" s="214">
        <f t="shared" ref="BT44" si="162">BF44</f>
        <v>2512</v>
      </c>
      <c r="BU44" s="214">
        <f t="shared" ref="BU44" si="163">BG44</f>
        <v>2603</v>
      </c>
      <c r="BV44" s="214">
        <f t="shared" ref="BV44" si="164">BH44</f>
        <v>2606</v>
      </c>
      <c r="BY44" s="214"/>
      <c r="BZ44" s="214">
        <f>BZ$10</f>
        <v>2026</v>
      </c>
      <c r="CA44" s="214">
        <f>CA$10</f>
        <v>2025</v>
      </c>
      <c r="CB44" s="214">
        <f>CB$10</f>
        <v>2025</v>
      </c>
      <c r="CF44" s="214"/>
      <c r="CG44" s="214">
        <v>2026</v>
      </c>
      <c r="CH44" s="214">
        <v>2025</v>
      </c>
      <c r="CI44" s="214">
        <v>2025</v>
      </c>
      <c r="CL44" s="214"/>
      <c r="CM44" s="214" t="str">
        <f>CM$10</f>
        <v>30 jun 2026</v>
      </c>
      <c r="CN44" s="214" t="str">
        <f>CN$9</f>
        <v>Justering</v>
      </c>
      <c r="CO44" s="422" t="str">
        <f t="shared" ref="CO44" si="165">CO$10</f>
        <v>30 jun 2026</v>
      </c>
      <c r="CR44" s="422"/>
      <c r="CS44" s="214" t="str">
        <f>CS$10</f>
        <v>30 jun 2026</v>
      </c>
      <c r="CT44" s="214" t="str">
        <f>CT$9</f>
        <v>Adjustment</v>
      </c>
      <c r="CU44" s="422" t="str">
        <f t="shared" ref="CU44" si="166">CU$10</f>
        <v>30 jun 2026</v>
      </c>
      <c r="CW44" s="396"/>
    </row>
    <row r="45" spans="2:101" s="398" customFormat="1" outlineLevel="1" x14ac:dyDescent="0.15">
      <c r="E45" s="822" t="s">
        <v>485</v>
      </c>
      <c r="F45" s="823"/>
      <c r="G45" s="1000"/>
      <c r="H45" s="1001">
        <f t="shared" ref="H45" si="167">H41-H25</f>
        <v>0</v>
      </c>
      <c r="I45" s="1001">
        <f t="shared" ref="I45:S45" si="168">I41-I25</f>
        <v>9.9999999999909051E-2</v>
      </c>
      <c r="J45" s="1001">
        <f t="shared" si="168"/>
        <v>0</v>
      </c>
      <c r="K45" s="1001">
        <f t="shared" si="168"/>
        <v>0</v>
      </c>
      <c r="L45" s="1001">
        <f t="shared" si="168"/>
        <v>0</v>
      </c>
      <c r="M45" s="1001">
        <f t="shared" si="168"/>
        <v>0</v>
      </c>
      <c r="N45" s="1001">
        <f t="shared" si="168"/>
        <v>0</v>
      </c>
      <c r="O45" s="1001">
        <f t="shared" si="168"/>
        <v>0</v>
      </c>
      <c r="P45" s="1001">
        <f t="shared" si="168"/>
        <v>0</v>
      </c>
      <c r="Q45" s="1001">
        <f t="shared" si="168"/>
        <v>0</v>
      </c>
      <c r="R45" s="1001">
        <f t="shared" si="168"/>
        <v>0</v>
      </c>
      <c r="S45" s="1001">
        <f t="shared" si="168"/>
        <v>0</v>
      </c>
      <c r="T45" s="213"/>
      <c r="U45" s="1045" t="str">
        <f>$E45</f>
        <v>Check: Active = Passive</v>
      </c>
      <c r="V45" s="1045"/>
      <c r="W45" s="1001">
        <f t="shared" ref="W45" si="169">W41-W25</f>
        <v>0</v>
      </c>
      <c r="X45" s="1001">
        <f>X41-X25</f>
        <v>0</v>
      </c>
      <c r="Y45" s="1001">
        <f>Y41-Y25</f>
        <v>0</v>
      </c>
      <c r="Z45" s="1215"/>
      <c r="AA45" s="1045" t="str">
        <f>$E45</f>
        <v>Check: Active = Passive</v>
      </c>
      <c r="AB45" s="1045"/>
      <c r="AC45" s="1001">
        <f t="shared" ref="AC45:AE45" si="170">AC41-AC25</f>
        <v>0</v>
      </c>
      <c r="AD45" s="1001">
        <f t="shared" si="170"/>
        <v>0</v>
      </c>
      <c r="AE45" s="1001">
        <f t="shared" si="170"/>
        <v>0</v>
      </c>
      <c r="AF45" s="1044"/>
      <c r="AG45" s="1044"/>
      <c r="AH45" s="1045" t="str">
        <f>$E45</f>
        <v>Check: Active = Passive</v>
      </c>
      <c r="AI45" s="1000"/>
      <c r="AJ45" s="1000"/>
      <c r="AK45" s="1001">
        <f t="shared" ref="AK45" si="171">AK41-AK25</f>
        <v>-1.9785999999839987E-2</v>
      </c>
      <c r="AL45" s="1001">
        <f t="shared" ref="AL45:AT45" si="172">AL41-AL25</f>
        <v>3.9605999999821506E-2</v>
      </c>
      <c r="AM45" s="1001">
        <f t="shared" si="172"/>
        <v>-9.8169999996571278E-3</v>
      </c>
      <c r="AN45" s="1001">
        <f t="shared" si="172"/>
        <v>-1.4407000000119297E-2</v>
      </c>
      <c r="AO45" s="1001">
        <f t="shared" si="172"/>
        <v>0.18021324820256268</v>
      </c>
      <c r="AP45" s="1001">
        <f t="shared" si="172"/>
        <v>3.9605887039215304E-2</v>
      </c>
      <c r="AQ45" s="1001">
        <f t="shared" si="172"/>
        <v>0.19018239487513711</v>
      </c>
      <c r="AR45" s="1001">
        <f t="shared" si="172"/>
        <v>-0.21440811328920972</v>
      </c>
      <c r="AS45" s="1001">
        <f t="shared" si="172"/>
        <v>-4.1212999999515887E-2</v>
      </c>
      <c r="AT45" s="1001">
        <f t="shared" si="172"/>
        <v>3.3822999999756576E-2</v>
      </c>
      <c r="AU45" s="401"/>
      <c r="AW45" s="824" t="str">
        <f>$E45</f>
        <v>Check: Active = Passive</v>
      </c>
      <c r="AX45" s="801"/>
      <c r="AY45" s="1001">
        <f t="shared" ref="AY45" si="173">AY41-AY25</f>
        <v>-1.9785999999839987E-2</v>
      </c>
      <c r="AZ45" s="1001">
        <f t="shared" ref="AZ45:BH45" si="174">AZ41-AZ25</f>
        <v>-6.0394000000087544E-2</v>
      </c>
      <c r="BA45" s="1001">
        <f t="shared" si="174"/>
        <v>-9.8169999996571278E-3</v>
      </c>
      <c r="BB45" s="1001">
        <f t="shared" si="174"/>
        <v>-1.4406999999891923E-2</v>
      </c>
      <c r="BC45" s="1001">
        <f t="shared" si="174"/>
        <v>0.18021324820256268</v>
      </c>
      <c r="BD45" s="1001">
        <f t="shared" si="174"/>
        <v>3.9605887039215304E-2</v>
      </c>
      <c r="BE45" s="1001">
        <f t="shared" si="174"/>
        <v>0.19018239487490973</v>
      </c>
      <c r="BF45" s="1001">
        <f t="shared" si="174"/>
        <v>-0.21440811328920972</v>
      </c>
      <c r="BG45" s="1001">
        <f t="shared" si="174"/>
        <v>-4.1212999999515887E-2</v>
      </c>
      <c r="BH45" s="1001">
        <f t="shared" si="174"/>
        <v>3.3823000000211323E-2</v>
      </c>
      <c r="BI45" s="962"/>
      <c r="BJ45" s="962"/>
      <c r="BK45" s="824" t="str">
        <f>$E45</f>
        <v>Check: Active = Passive</v>
      </c>
      <c r="BL45" s="824"/>
      <c r="BM45" s="1001">
        <f t="shared" ref="BM45:BV45" si="175">BM41-BM25</f>
        <v>0</v>
      </c>
      <c r="BN45" s="1001">
        <f t="shared" si="175"/>
        <v>-4.0608000000247557E-2</v>
      </c>
      <c r="BO45" s="1001">
        <f t="shared" si="175"/>
        <v>5.0577000000430417E-2</v>
      </c>
      <c r="BP45" s="1001">
        <f t="shared" si="175"/>
        <v>-4.5900000002347952E-3</v>
      </c>
      <c r="BQ45" s="1001">
        <f t="shared" si="175"/>
        <v>0.1946202482024546</v>
      </c>
      <c r="BR45" s="1001">
        <f t="shared" si="175"/>
        <v>-0.14060736116334738</v>
      </c>
      <c r="BS45" s="1001">
        <f t="shared" si="175"/>
        <v>0.15057650783569443</v>
      </c>
      <c r="BT45" s="1001">
        <f t="shared" si="175"/>
        <v>-0.40459050816411946</v>
      </c>
      <c r="BU45" s="1001">
        <f t="shared" si="175"/>
        <v>0.17319511328969384</v>
      </c>
      <c r="BV45" s="1001">
        <f t="shared" si="175"/>
        <v>7.503599999972721E-2</v>
      </c>
      <c r="BW45" s="962"/>
      <c r="BX45" s="962"/>
      <c r="BY45" s="1106" t="str">
        <f>$E45</f>
        <v>Check: Active = Passive</v>
      </c>
      <c r="BZ45" s="1001">
        <f t="shared" ref="BZ45:CB45" si="176">BZ41-BZ25</f>
        <v>3.3822999999756576E-2</v>
      </c>
      <c r="CA45" s="1001">
        <f t="shared" si="176"/>
        <v>3.9605887039215304E-2</v>
      </c>
      <c r="CB45" s="1001">
        <f t="shared" si="176"/>
        <v>-0.21440811328920972</v>
      </c>
      <c r="CC45" s="888"/>
      <c r="CD45" s="888"/>
      <c r="CE45" s="888"/>
      <c r="CF45" s="1106" t="s">
        <v>485</v>
      </c>
      <c r="CG45" s="1001">
        <f t="shared" ref="CG45:CI45" si="177">CG41-CG25</f>
        <v>3.3822999999756576E-2</v>
      </c>
      <c r="CH45" s="1001">
        <f t="shared" si="177"/>
        <v>3.9605887039215304E-2</v>
      </c>
      <c r="CI45" s="1001">
        <f t="shared" si="177"/>
        <v>-0.21440811328920972</v>
      </c>
      <c r="CJ45" s="888"/>
      <c r="CK45" s="888"/>
      <c r="CL45" s="1106" t="str">
        <f>$E45</f>
        <v>Check: Active = Passive</v>
      </c>
      <c r="CM45" s="1001">
        <f t="shared" ref="CM45:CO45" si="178">CM41-CM25</f>
        <v>0</v>
      </c>
      <c r="CN45" s="1001">
        <f t="shared" si="178"/>
        <v>3.3823000000211323E-2</v>
      </c>
      <c r="CO45" s="1001">
        <f t="shared" si="178"/>
        <v>3.3822999999756576E-2</v>
      </c>
      <c r="CP45" s="962"/>
      <c r="CQ45" s="962"/>
      <c r="CR45" s="1106" t="str">
        <f>$E45</f>
        <v>Check: Active = Passive</v>
      </c>
      <c r="CS45" s="225">
        <f t="shared" ref="CS45:CU45" si="179">CS41-CS25</f>
        <v>0</v>
      </c>
      <c r="CT45" s="225">
        <f t="shared" si="179"/>
        <v>3.3823000000211323E-2</v>
      </c>
      <c r="CU45" s="225">
        <f t="shared" si="179"/>
        <v>3.3822999999756576E-2</v>
      </c>
    </row>
    <row r="46" spans="2:101" s="398" customFormat="1" outlineLevel="1" x14ac:dyDescent="0.15">
      <c r="E46" s="822" t="s">
        <v>831</v>
      </c>
      <c r="F46" s="823"/>
      <c r="G46" s="1000"/>
      <c r="H46" s="1001">
        <f t="shared" ref="H46:S46" si="180">H13-SUM(H14:H15)</f>
        <v>-1.9785999999953674E-2</v>
      </c>
      <c r="I46" s="1001">
        <f t="shared" si="180"/>
        <v>3.960600000004888E-2</v>
      </c>
      <c r="J46" s="1001">
        <f t="shared" si="180"/>
        <v>-9.8169999999981883E-3</v>
      </c>
      <c r="K46" s="1001">
        <f t="shared" si="180"/>
        <v>-1.440700000000561E-2</v>
      </c>
      <c r="L46" s="1001">
        <f t="shared" si="180"/>
        <v>0.18021324820279006</v>
      </c>
      <c r="M46" s="1001">
        <f t="shared" si="180"/>
        <v>3.960588703898793E-2</v>
      </c>
      <c r="N46" s="1001">
        <f t="shared" si="180"/>
        <v>0.19018239487513711</v>
      </c>
      <c r="O46" s="1001">
        <f t="shared" si="180"/>
        <v>-0.21440811328875498</v>
      </c>
      <c r="P46" s="1001">
        <f t="shared" si="180"/>
        <v>-4.1213000000084321E-2</v>
      </c>
      <c r="Q46" s="1001">
        <f t="shared" si="180"/>
        <v>3.3822999999983949E-2</v>
      </c>
      <c r="R46" s="1001">
        <f t="shared" si="180"/>
        <v>0</v>
      </c>
      <c r="S46" s="1001">
        <f t="shared" si="180"/>
        <v>0</v>
      </c>
      <c r="T46" s="213"/>
      <c r="U46" s="1045" t="str">
        <f>$E46</f>
        <v>Check: Materiella Anläggningstillgångar</v>
      </c>
      <c r="V46" s="1045"/>
      <c r="W46" s="1001">
        <f t="shared" ref="W46" si="181">W13-SUM(W14:W15)</f>
        <v>3.3822999999983949E-2</v>
      </c>
      <c r="X46" s="1001">
        <f>X13-SUM(X14:X15)</f>
        <v>3.960588703898793E-2</v>
      </c>
      <c r="Y46" s="1001">
        <f>Y13-SUM(Y14:Y15)</f>
        <v>-0.21440811328875498</v>
      </c>
      <c r="Z46" s="1215"/>
      <c r="AA46" s="1045" t="str">
        <f>$E46</f>
        <v>Check: Materiella Anläggningstillgångar</v>
      </c>
      <c r="AB46" s="1045"/>
      <c r="AC46" s="1001">
        <f t="shared" ref="AC46:AE46" si="182">AC13-SUM(AC14:AC15)</f>
        <v>3.3822999999983949E-2</v>
      </c>
      <c r="AD46" s="1001">
        <f t="shared" si="182"/>
        <v>3.960588703898793E-2</v>
      </c>
      <c r="AE46" s="1001">
        <f t="shared" si="182"/>
        <v>-0.21440811328875498</v>
      </c>
      <c r="AF46" s="1044"/>
      <c r="AG46" s="1044"/>
      <c r="AH46" s="1045" t="str">
        <f>$E46</f>
        <v>Check: Materiella Anläggningstillgångar</v>
      </c>
      <c r="AI46" s="1000"/>
      <c r="AJ46" s="1000"/>
      <c r="AK46" s="1001">
        <f t="shared" ref="AK46" si="183">AK13-SUM(AK14:AK15)</f>
        <v>0</v>
      </c>
      <c r="AL46" s="1001">
        <f t="shared" ref="AL46:AT46" si="184">AL13-SUM(AL14:AL15)</f>
        <v>0</v>
      </c>
      <c r="AM46" s="1001">
        <f t="shared" si="184"/>
        <v>0</v>
      </c>
      <c r="AN46" s="1001">
        <f t="shared" si="184"/>
        <v>0</v>
      </c>
      <c r="AO46" s="1001">
        <f t="shared" si="184"/>
        <v>0</v>
      </c>
      <c r="AP46" s="1001">
        <f t="shared" si="184"/>
        <v>0</v>
      </c>
      <c r="AQ46" s="1001">
        <f t="shared" si="184"/>
        <v>0</v>
      </c>
      <c r="AR46" s="1001">
        <f t="shared" si="184"/>
        <v>0</v>
      </c>
      <c r="AS46" s="1001">
        <f t="shared" si="184"/>
        <v>0</v>
      </c>
      <c r="AT46" s="1001">
        <f t="shared" si="184"/>
        <v>0</v>
      </c>
      <c r="AU46" s="401"/>
      <c r="AW46" s="824" t="str">
        <f>$E46</f>
        <v>Check: Materiella Anläggningstillgångar</v>
      </c>
      <c r="AX46" s="801"/>
      <c r="AY46" s="1001">
        <f t="shared" ref="AY46" si="185">AY13-SUM(AY14:AY15)</f>
        <v>1.9785999999839987E-2</v>
      </c>
      <c r="AZ46" s="1001">
        <f t="shared" ref="AZ46:BH46" si="186">AZ13-SUM(AZ14:AZ15)</f>
        <v>-3.960600000004888E-2</v>
      </c>
      <c r="BA46" s="1001">
        <f t="shared" si="186"/>
        <v>9.8169999998845014E-3</v>
      </c>
      <c r="BB46" s="1001">
        <f t="shared" si="186"/>
        <v>1.4406999999778236E-2</v>
      </c>
      <c r="BC46" s="1001">
        <f t="shared" si="186"/>
        <v>-0.18021324820301743</v>
      </c>
      <c r="BD46" s="1001">
        <f t="shared" si="186"/>
        <v>-3.960588703898793E-2</v>
      </c>
      <c r="BE46" s="1001">
        <f t="shared" si="186"/>
        <v>-0.19018239487525079</v>
      </c>
      <c r="BF46" s="1001">
        <f t="shared" si="186"/>
        <v>0.21440811328864129</v>
      </c>
      <c r="BG46" s="1001">
        <f t="shared" si="186"/>
        <v>4.1212999999970634E-2</v>
      </c>
      <c r="BH46" s="1001">
        <f t="shared" si="186"/>
        <v>-3.3822999999983949E-2</v>
      </c>
      <c r="BI46" s="962"/>
      <c r="BJ46" s="962"/>
      <c r="BK46" s="824" t="str">
        <f>$E46</f>
        <v>Check: Materiella Anläggningstillgångar</v>
      </c>
      <c r="BL46" s="824"/>
      <c r="BM46" s="1001">
        <f t="shared" ref="BM46:BV46" si="187">BM13-SUM(BM14:BM15)</f>
        <v>0</v>
      </c>
      <c r="BN46" s="1001">
        <f t="shared" si="187"/>
        <v>-5.9391999999888867E-2</v>
      </c>
      <c r="BO46" s="1001">
        <f t="shared" si="187"/>
        <v>4.9422999999933381E-2</v>
      </c>
      <c r="BP46" s="1001">
        <f t="shared" si="187"/>
        <v>4.5899999999505781E-3</v>
      </c>
      <c r="BQ46" s="1001">
        <f t="shared" si="187"/>
        <v>-0.19462024820279566</v>
      </c>
      <c r="BR46" s="1001">
        <f t="shared" si="187"/>
        <v>0.14060736116391581</v>
      </c>
      <c r="BS46" s="1001">
        <f t="shared" si="187"/>
        <v>-0.15057650783620602</v>
      </c>
      <c r="BT46" s="1001">
        <f t="shared" si="187"/>
        <v>0.40459050816389208</v>
      </c>
      <c r="BU46" s="1001">
        <f t="shared" si="187"/>
        <v>-0.17319511328867065</v>
      </c>
      <c r="BV46" s="1001">
        <f t="shared" si="187"/>
        <v>-7.5035999999954583E-2</v>
      </c>
      <c r="BW46" s="962"/>
      <c r="BX46" s="962"/>
      <c r="BY46" s="1106" t="str">
        <f>$E46</f>
        <v>Check: Materiella Anläggningstillgångar</v>
      </c>
      <c r="BZ46" s="1001">
        <f t="shared" ref="BZ46:CB46" si="188">BZ13-SUM(BZ14:BZ15)</f>
        <v>0</v>
      </c>
      <c r="CA46" s="1001">
        <f t="shared" si="188"/>
        <v>0</v>
      </c>
      <c r="CB46" s="1001">
        <f t="shared" si="188"/>
        <v>0</v>
      </c>
      <c r="CC46" s="888"/>
      <c r="CD46" s="888"/>
      <c r="CE46" s="888"/>
      <c r="CF46" s="1106" t="s">
        <v>485</v>
      </c>
      <c r="CG46" s="1001">
        <f t="shared" ref="CG46:CI46" si="189">CG13-SUM(CG14:CG15)</f>
        <v>0</v>
      </c>
      <c r="CH46" s="1001">
        <f t="shared" si="189"/>
        <v>0</v>
      </c>
      <c r="CI46" s="1001">
        <f t="shared" si="189"/>
        <v>0</v>
      </c>
      <c r="CJ46" s="888"/>
      <c r="CK46" s="888"/>
      <c r="CL46" s="1106" t="str">
        <f>$E46</f>
        <v>Check: Materiella Anläggningstillgångar</v>
      </c>
      <c r="CM46" s="1001">
        <f t="shared" ref="CM46:CO46" si="190">CM13-SUM(CM14:CM15)</f>
        <v>3.3822999999983949E-2</v>
      </c>
      <c r="CN46" s="1001">
        <f t="shared" si="190"/>
        <v>-3.3822999999983949E-2</v>
      </c>
      <c r="CO46" s="1001">
        <f t="shared" si="190"/>
        <v>0</v>
      </c>
      <c r="CP46" s="962"/>
      <c r="CQ46" s="962"/>
      <c r="CR46" s="1106" t="str">
        <f>$E46</f>
        <v>Check: Materiella Anläggningstillgångar</v>
      </c>
      <c r="CS46" s="225">
        <f t="shared" ref="CS46:CU46" si="191">CS13-SUM(CS14:CS15)</f>
        <v>3.3822999999983949E-2</v>
      </c>
      <c r="CT46" s="225">
        <f t="shared" si="191"/>
        <v>-3.3822999999983949E-2</v>
      </c>
      <c r="CU46" s="225">
        <f t="shared" si="191"/>
        <v>0</v>
      </c>
    </row>
    <row r="47" spans="2:101" s="398" customFormat="1" outlineLevel="1" x14ac:dyDescent="0.15">
      <c r="E47" s="822" t="s">
        <v>486</v>
      </c>
      <c r="F47" s="823"/>
      <c r="G47" s="1000"/>
      <c r="H47" s="1001">
        <f t="shared" ref="H47:S47" si="192">SUM(H28,H30)-H32</f>
        <v>0</v>
      </c>
      <c r="I47" s="1001">
        <f t="shared" si="192"/>
        <v>0</v>
      </c>
      <c r="J47" s="1001">
        <f t="shared" si="192"/>
        <v>0</v>
      </c>
      <c r="K47" s="1001">
        <f t="shared" si="192"/>
        <v>0</v>
      </c>
      <c r="L47" s="1001">
        <f t="shared" si="192"/>
        <v>0</v>
      </c>
      <c r="M47" s="1001">
        <f t="shared" si="192"/>
        <v>0</v>
      </c>
      <c r="N47" s="1001">
        <f t="shared" si="192"/>
        <v>0</v>
      </c>
      <c r="O47" s="1001">
        <f t="shared" si="192"/>
        <v>0</v>
      </c>
      <c r="P47" s="1001">
        <f t="shared" si="192"/>
        <v>0</v>
      </c>
      <c r="Q47" s="1001">
        <f t="shared" si="192"/>
        <v>0</v>
      </c>
      <c r="R47" s="1001">
        <f t="shared" si="192"/>
        <v>0</v>
      </c>
      <c r="S47" s="1001">
        <f t="shared" si="192"/>
        <v>0</v>
      </c>
      <c r="T47" s="213"/>
      <c r="U47" s="1045" t="str">
        <f t="shared" ref="U47:U49" si="193">$E47</f>
        <v>Check: EK 1</v>
      </c>
      <c r="V47" s="1045"/>
      <c r="W47" s="1001">
        <f t="shared" ref="W47" si="194">SUM(W28,W30)-W32</f>
        <v>0</v>
      </c>
      <c r="X47" s="1001">
        <f>SUM(X28,X30)-X32</f>
        <v>0</v>
      </c>
      <c r="Y47" s="1001">
        <f>SUM(Y28,Y30)-Y32</f>
        <v>0</v>
      </c>
      <c r="Z47" s="1215"/>
      <c r="AA47" s="1045" t="str">
        <f t="shared" ref="AA47:AA49" si="195">$E47</f>
        <v>Check: EK 1</v>
      </c>
      <c r="AB47" s="1045"/>
      <c r="AC47" s="1001">
        <f t="shared" ref="AC47:AE47" si="196">SUM(AC28,AC30)-AC32</f>
        <v>0</v>
      </c>
      <c r="AD47" s="1001">
        <f t="shared" si="196"/>
        <v>0</v>
      </c>
      <c r="AE47" s="1001">
        <f t="shared" si="196"/>
        <v>0</v>
      </c>
      <c r="AF47" s="1044"/>
      <c r="AG47" s="1044"/>
      <c r="AH47" s="1045" t="str">
        <f t="shared" ref="AH47:AH49" si="197">$E47</f>
        <v>Check: EK 1</v>
      </c>
      <c r="AI47" s="1000"/>
      <c r="AJ47" s="1000"/>
      <c r="AK47" s="1001">
        <f t="shared" ref="AK47" si="198">SUM(AK28,AK30)-AK32</f>
        <v>0</v>
      </c>
      <c r="AL47" s="1001">
        <f t="shared" ref="AL47:AT47" si="199">SUM(AL28,AL30)-AL32</f>
        <v>0</v>
      </c>
      <c r="AM47" s="1001">
        <f t="shared" si="199"/>
        <v>0</v>
      </c>
      <c r="AN47" s="1001">
        <f t="shared" si="199"/>
        <v>0</v>
      </c>
      <c r="AO47" s="1001">
        <f t="shared" si="199"/>
        <v>0</v>
      </c>
      <c r="AP47" s="1001">
        <f t="shared" si="199"/>
        <v>0</v>
      </c>
      <c r="AQ47" s="1001">
        <f t="shared" si="199"/>
        <v>0</v>
      </c>
      <c r="AR47" s="1001">
        <f t="shared" si="199"/>
        <v>0</v>
      </c>
      <c r="AS47" s="1001">
        <f t="shared" si="199"/>
        <v>0</v>
      </c>
      <c r="AT47" s="1001">
        <f t="shared" si="199"/>
        <v>0</v>
      </c>
      <c r="AU47" s="401"/>
      <c r="AW47" s="824" t="str">
        <f t="shared" ref="AW47:AW49" si="200">$E47</f>
        <v>Check: EK 1</v>
      </c>
      <c r="AX47" s="801"/>
      <c r="AY47" s="1001">
        <f t="shared" ref="AY47:BH47" si="201">SUM(AY28,AY30)-AY32</f>
        <v>0</v>
      </c>
      <c r="AZ47" s="1001">
        <f t="shared" si="201"/>
        <v>0</v>
      </c>
      <c r="BA47" s="1001">
        <f t="shared" si="201"/>
        <v>0</v>
      </c>
      <c r="BB47" s="1001">
        <f t="shared" si="201"/>
        <v>0</v>
      </c>
      <c r="BC47" s="1001">
        <f t="shared" si="201"/>
        <v>0</v>
      </c>
      <c r="BD47" s="1001">
        <f t="shared" si="201"/>
        <v>0</v>
      </c>
      <c r="BE47" s="1001">
        <f t="shared" si="201"/>
        <v>0</v>
      </c>
      <c r="BF47" s="1001">
        <f t="shared" si="201"/>
        <v>0</v>
      </c>
      <c r="BG47" s="1001">
        <f t="shared" si="201"/>
        <v>0</v>
      </c>
      <c r="BH47" s="1001">
        <f t="shared" si="201"/>
        <v>0</v>
      </c>
      <c r="BI47" s="962"/>
      <c r="BJ47" s="962"/>
      <c r="BK47" s="824" t="str">
        <f t="shared" ref="BK47:BK49" si="202">$E47</f>
        <v>Check: EK 1</v>
      </c>
      <c r="BL47" s="824"/>
      <c r="BM47" s="1001">
        <f t="shared" ref="BM47:BV47" si="203">SUM(BM28,BM30)-BM32</f>
        <v>0</v>
      </c>
      <c r="BN47" s="1001">
        <f t="shared" si="203"/>
        <v>1.5276668818842154E-13</v>
      </c>
      <c r="BO47" s="1001">
        <f t="shared" si="203"/>
        <v>-9.5923269327613525E-14</v>
      </c>
      <c r="BP47" s="1001">
        <f t="shared" si="203"/>
        <v>6.3948846218409017E-14</v>
      </c>
      <c r="BQ47" s="1001">
        <f t="shared" si="203"/>
        <v>-1.0480505352461478E-13</v>
      </c>
      <c r="BR47" s="1001">
        <f t="shared" si="203"/>
        <v>1.3322676295501878E-13</v>
      </c>
      <c r="BS47" s="1001">
        <f t="shared" si="203"/>
        <v>-2.2026824808563106E-13</v>
      </c>
      <c r="BT47" s="1001">
        <f t="shared" si="203"/>
        <v>6.7501559897209518E-14</v>
      </c>
      <c r="BU47" s="1001">
        <f t="shared" si="203"/>
        <v>-3.1974423109204508E-14</v>
      </c>
      <c r="BV47" s="1001">
        <f t="shared" si="203"/>
        <v>-6.3948846218409017E-14</v>
      </c>
      <c r="BW47" s="962"/>
      <c r="BX47" s="962"/>
      <c r="BY47" s="1106" t="str">
        <f t="shared" ref="BY47:BY49" si="204">$E47</f>
        <v>Check: EK 1</v>
      </c>
      <c r="BZ47" s="1001">
        <f t="shared" ref="BZ47:CB47" si="205">SUM(BZ28,BZ30)-BZ32</f>
        <v>0</v>
      </c>
      <c r="CA47" s="1001">
        <f t="shared" si="205"/>
        <v>0</v>
      </c>
      <c r="CB47" s="1001">
        <f t="shared" si="205"/>
        <v>0</v>
      </c>
      <c r="CC47" s="888"/>
      <c r="CD47" s="888"/>
      <c r="CE47" s="888"/>
      <c r="CF47" s="1106" t="s">
        <v>485</v>
      </c>
      <c r="CG47" s="1001">
        <f t="shared" ref="CG47:CI47" si="206">SUM(CG28,CG30)-CG32</f>
        <v>0</v>
      </c>
      <c r="CH47" s="1001">
        <f t="shared" si="206"/>
        <v>0</v>
      </c>
      <c r="CI47" s="1001">
        <f t="shared" si="206"/>
        <v>0</v>
      </c>
      <c r="CJ47" s="888"/>
      <c r="CK47" s="888"/>
      <c r="CL47" s="1106" t="str">
        <f t="shared" ref="CL47:CL49" si="207">$E47</f>
        <v>Check: EK 1</v>
      </c>
      <c r="CM47" s="1001">
        <f t="shared" ref="CM47:CO47" si="208">SUM(CM28,CM30)-CM32</f>
        <v>0</v>
      </c>
      <c r="CN47" s="1001">
        <f t="shared" si="208"/>
        <v>0</v>
      </c>
      <c r="CO47" s="1001">
        <f t="shared" si="208"/>
        <v>0</v>
      </c>
      <c r="CP47" s="962"/>
      <c r="CQ47" s="962"/>
      <c r="CR47" s="1106" t="str">
        <f t="shared" ref="CR47:CR49" si="209">$E47</f>
        <v>Check: EK 1</v>
      </c>
      <c r="CS47" s="225">
        <f t="shared" ref="CS47:CU47" si="210">SUM(CS28,CS30)-CS32</f>
        <v>0</v>
      </c>
      <c r="CT47" s="225">
        <f t="shared" si="210"/>
        <v>0</v>
      </c>
      <c r="CU47" s="225">
        <f t="shared" si="210"/>
        <v>0</v>
      </c>
    </row>
    <row r="48" spans="2:101" s="398" customFormat="1" outlineLevel="1" x14ac:dyDescent="0.15">
      <c r="E48" s="822" t="s">
        <v>487</v>
      </c>
      <c r="F48" s="823"/>
      <c r="G48" s="1802"/>
      <c r="H48" s="1800">
        <f t="shared" ref="H48:S48" si="211">H25-SUM(H14:H15,H16:H18,H21:H23,H12)</f>
        <v>-1.9785999999839987E-2</v>
      </c>
      <c r="I48" s="1800">
        <f t="shared" si="211"/>
        <v>3.960600000004888E-2</v>
      </c>
      <c r="J48" s="1800">
        <f t="shared" si="211"/>
        <v>-9.8169999998845014E-3</v>
      </c>
      <c r="K48" s="1800">
        <f t="shared" si="211"/>
        <v>-1.4406999999891923E-2</v>
      </c>
      <c r="L48" s="1800">
        <f t="shared" si="211"/>
        <v>0.18021324820279006</v>
      </c>
      <c r="M48" s="1800">
        <f t="shared" si="211"/>
        <v>3.960588703898793E-2</v>
      </c>
      <c r="N48" s="1800">
        <f t="shared" si="211"/>
        <v>0.19018239487490973</v>
      </c>
      <c r="O48" s="1800">
        <f t="shared" si="211"/>
        <v>-0.21440811328875498</v>
      </c>
      <c r="P48" s="1800">
        <f t="shared" si="211"/>
        <v>-4.1213000000198008E-2</v>
      </c>
      <c r="Q48" s="1800">
        <f t="shared" si="211"/>
        <v>3.3823000000211323E-2</v>
      </c>
      <c r="R48" s="1800">
        <f t="shared" si="211"/>
        <v>0</v>
      </c>
      <c r="S48" s="1800">
        <f t="shared" si="211"/>
        <v>0</v>
      </c>
      <c r="T48" s="213"/>
      <c r="U48" s="1801" t="str">
        <f t="shared" si="193"/>
        <v>Check: Tillgångar</v>
      </c>
      <c r="V48" s="1801"/>
      <c r="W48" s="1800">
        <f t="shared" ref="W48" si="212">W25-SUM(W14:W15,W16:W18,W21:W23,W12)</f>
        <v>3.3823000000211323E-2</v>
      </c>
      <c r="X48" s="1800">
        <f>X25-SUM(X14:X15,X16:X18,X21:X23,X12)</f>
        <v>3.960588703898793E-2</v>
      </c>
      <c r="Y48" s="1800">
        <f>Y25-SUM(Y14:Y15,Y16:Y18,Y21:Y23,Y12)</f>
        <v>-0.21440811328875498</v>
      </c>
      <c r="Z48" s="1215"/>
      <c r="AA48" s="1801" t="str">
        <f t="shared" si="195"/>
        <v>Check: Tillgångar</v>
      </c>
      <c r="AB48" s="1801"/>
      <c r="AC48" s="1800">
        <f t="shared" ref="AC48:AE48" si="213">AC25-SUM(AC14:AC15,AC16:AC18,AC21:AC23,AC12)</f>
        <v>3.3823000000211323E-2</v>
      </c>
      <c r="AD48" s="1800">
        <f t="shared" si="213"/>
        <v>3.960588703898793E-2</v>
      </c>
      <c r="AE48" s="1800">
        <f t="shared" si="213"/>
        <v>-0.21440811328875498</v>
      </c>
      <c r="AF48" s="1044"/>
      <c r="AG48" s="1044"/>
      <c r="AH48" s="1801" t="str">
        <f t="shared" si="197"/>
        <v>Check: Tillgångar</v>
      </c>
      <c r="AI48" s="1802"/>
      <c r="AJ48" s="1802"/>
      <c r="AK48" s="1800">
        <f t="shared" ref="AK48" si="214">AK25-SUM(AK14:AK15,AK16:AK18,AK21:AK23,AK12)</f>
        <v>0</v>
      </c>
      <c r="AL48" s="1800">
        <f t="shared" ref="AL48:AT48" si="215">AL25-SUM(AL14:AL15,AL16:AL18,AL21:AL23,AL12)</f>
        <v>0</v>
      </c>
      <c r="AM48" s="1800">
        <f t="shared" si="215"/>
        <v>0</v>
      </c>
      <c r="AN48" s="1800">
        <f t="shared" si="215"/>
        <v>0</v>
      </c>
      <c r="AO48" s="1800">
        <f t="shared" si="215"/>
        <v>0</v>
      </c>
      <c r="AP48" s="1800">
        <f t="shared" si="215"/>
        <v>0</v>
      </c>
      <c r="AQ48" s="1800">
        <f t="shared" si="215"/>
        <v>0</v>
      </c>
      <c r="AR48" s="1800">
        <f t="shared" si="215"/>
        <v>0</v>
      </c>
      <c r="AS48" s="1800">
        <f t="shared" si="215"/>
        <v>0</v>
      </c>
      <c r="AT48" s="1800">
        <f t="shared" si="215"/>
        <v>0</v>
      </c>
      <c r="AU48" s="401"/>
      <c r="AW48" s="824" t="str">
        <f t="shared" si="200"/>
        <v>Check: Tillgångar</v>
      </c>
      <c r="AX48" s="801"/>
      <c r="AY48" s="1800">
        <f t="shared" ref="AY48:BH48" si="216">AY25-SUM(AY14:AY15,AY16:AY18,AY21:AY23,AY12)</f>
        <v>1.97859999997263E-2</v>
      </c>
      <c r="AZ48" s="1800">
        <f t="shared" si="216"/>
        <v>-3.9606000000162567E-2</v>
      </c>
      <c r="BA48" s="1800">
        <f t="shared" si="216"/>
        <v>9.8169999997708146E-3</v>
      </c>
      <c r="BB48" s="1800">
        <f t="shared" si="216"/>
        <v>1.4406999999891923E-2</v>
      </c>
      <c r="BC48" s="1800">
        <f t="shared" si="216"/>
        <v>-0.18021324820279006</v>
      </c>
      <c r="BD48" s="1800">
        <f t="shared" si="216"/>
        <v>-3.960588703898793E-2</v>
      </c>
      <c r="BE48" s="1800">
        <f t="shared" si="216"/>
        <v>-0.19018239487468236</v>
      </c>
      <c r="BF48" s="1800">
        <f t="shared" si="216"/>
        <v>0.21440811328898235</v>
      </c>
      <c r="BG48" s="1800">
        <f t="shared" si="216"/>
        <v>4.1212999999856947E-2</v>
      </c>
      <c r="BH48" s="1800">
        <f t="shared" si="216"/>
        <v>-3.3822999999983949E-2</v>
      </c>
      <c r="BI48" s="962"/>
      <c r="BJ48" s="962"/>
      <c r="BK48" s="824" t="str">
        <f t="shared" si="202"/>
        <v>Check: Tillgångar</v>
      </c>
      <c r="BL48" s="824"/>
      <c r="BM48" s="1800">
        <f t="shared" ref="BM48:BV48" si="217">BM25-SUM(BM14:BM15,BM16:BM18,BM21:BM23,BM12)</f>
        <v>0</v>
      </c>
      <c r="BN48" s="1800">
        <f t="shared" si="217"/>
        <v>-5.9391999999888867E-2</v>
      </c>
      <c r="BO48" s="1800">
        <f t="shared" si="217"/>
        <v>4.942299999993871E-2</v>
      </c>
      <c r="BP48" s="1800">
        <f t="shared" si="217"/>
        <v>4.5900000002063734E-3</v>
      </c>
      <c r="BQ48" s="1800">
        <f t="shared" si="217"/>
        <v>-0.19462024820268198</v>
      </c>
      <c r="BR48" s="1800">
        <f t="shared" si="217"/>
        <v>0.14060736116368844</v>
      </c>
      <c r="BS48" s="1800">
        <f t="shared" si="217"/>
        <v>-0.15057650783563759</v>
      </c>
      <c r="BT48" s="1800">
        <f t="shared" si="217"/>
        <v>0.40459050816366471</v>
      </c>
      <c r="BU48" s="1800">
        <f t="shared" si="217"/>
        <v>-0.17319511328916093</v>
      </c>
      <c r="BV48" s="1800">
        <f t="shared" si="217"/>
        <v>-7.5035999999840897E-2</v>
      </c>
      <c r="BW48" s="962"/>
      <c r="BX48" s="962"/>
      <c r="BY48" s="1106" t="str">
        <f t="shared" si="204"/>
        <v>Check: Tillgångar</v>
      </c>
      <c r="BZ48" s="1800">
        <f t="shared" ref="BZ48:CB48" si="218">BZ25-SUM(BZ14:BZ15,BZ16:BZ18,BZ21:BZ23,BZ12)</f>
        <v>0</v>
      </c>
      <c r="CA48" s="1800">
        <f t="shared" si="218"/>
        <v>0</v>
      </c>
      <c r="CB48" s="1800">
        <f t="shared" si="218"/>
        <v>0</v>
      </c>
      <c r="CC48" s="888"/>
      <c r="CD48" s="888"/>
      <c r="CE48" s="888"/>
      <c r="CF48" s="1106" t="s">
        <v>485</v>
      </c>
      <c r="CG48" s="1800">
        <f t="shared" ref="CG48:CI48" si="219">CG25-SUM(CG14:CG15,CG16:CG18,CG21:CG23,CG12)</f>
        <v>0</v>
      </c>
      <c r="CH48" s="1800">
        <f t="shared" si="219"/>
        <v>0</v>
      </c>
      <c r="CI48" s="1800">
        <f t="shared" si="219"/>
        <v>0</v>
      </c>
      <c r="CJ48" s="888"/>
      <c r="CK48" s="888"/>
      <c r="CL48" s="1106" t="str">
        <f t="shared" si="207"/>
        <v>Check: Tillgångar</v>
      </c>
      <c r="CM48" s="1800">
        <f t="shared" ref="CM48:CO48" si="220">CM25-SUM(CM14:CM15,CM16:CM18,CM21:CM23,CM12)</f>
        <v>3.3823000000211323E-2</v>
      </c>
      <c r="CN48" s="1800">
        <f t="shared" si="220"/>
        <v>-3.3822999999983949E-2</v>
      </c>
      <c r="CO48" s="1800">
        <f t="shared" si="220"/>
        <v>0</v>
      </c>
      <c r="CP48" s="962"/>
      <c r="CQ48" s="962"/>
      <c r="CR48" s="1106" t="str">
        <f t="shared" si="209"/>
        <v>Check: Tillgångar</v>
      </c>
      <c r="CS48" s="1797">
        <f t="shared" ref="CS48:CU48" si="221">CS25-SUM(CS14:CS15,CS16:CS18,CS21:CS23,CS12)</f>
        <v>3.3823000000211323E-2</v>
      </c>
      <c r="CT48" s="1797">
        <f t="shared" si="221"/>
        <v>-3.3822999999983949E-2</v>
      </c>
      <c r="CU48" s="1797">
        <f t="shared" si="221"/>
        <v>0</v>
      </c>
    </row>
    <row r="49" spans="5:100" s="398" customFormat="1" outlineLevel="1" x14ac:dyDescent="0.15">
      <c r="E49" s="822" t="s">
        <v>488</v>
      </c>
      <c r="F49" s="823"/>
      <c r="G49" s="1802"/>
      <c r="H49" s="1800">
        <f t="shared" ref="H49:S49" si="222">H41-SUM(H35:H36,H38:H39,H28,H30)</f>
        <v>0</v>
      </c>
      <c r="I49" s="1800">
        <f t="shared" si="222"/>
        <v>0</v>
      </c>
      <c r="J49" s="1800">
        <f t="shared" si="222"/>
        <v>0</v>
      </c>
      <c r="K49" s="1800">
        <f t="shared" si="222"/>
        <v>0</v>
      </c>
      <c r="L49" s="1800">
        <f t="shared" si="222"/>
        <v>0</v>
      </c>
      <c r="M49" s="1800">
        <f t="shared" si="222"/>
        <v>0</v>
      </c>
      <c r="N49" s="1800">
        <f t="shared" si="222"/>
        <v>0</v>
      </c>
      <c r="O49" s="1800">
        <f t="shared" si="222"/>
        <v>0</v>
      </c>
      <c r="P49" s="1800">
        <f t="shared" si="222"/>
        <v>0</v>
      </c>
      <c r="Q49" s="1800">
        <f t="shared" si="222"/>
        <v>0</v>
      </c>
      <c r="R49" s="1800">
        <f t="shared" si="222"/>
        <v>0</v>
      </c>
      <c r="S49" s="1800">
        <f t="shared" si="222"/>
        <v>0</v>
      </c>
      <c r="T49" s="1792"/>
      <c r="U49" s="1801" t="str">
        <f t="shared" si="193"/>
        <v>Check: Skulder</v>
      </c>
      <c r="V49" s="1801"/>
      <c r="W49" s="1800">
        <f t="shared" ref="W49" si="223">W41-SUM(W35:W36,W38:W39,W28,W30)</f>
        <v>0</v>
      </c>
      <c r="X49" s="1800">
        <f>X41-SUM(X35:X36,X38:X39,X28,X30)</f>
        <v>0</v>
      </c>
      <c r="Y49" s="1800">
        <f>Y41-SUM(Y35:Y36,Y38:Y39,Y28,Y30)</f>
        <v>0</v>
      </c>
      <c r="Z49" s="1794"/>
      <c r="AA49" s="1801" t="str">
        <f t="shared" si="195"/>
        <v>Check: Skulder</v>
      </c>
      <c r="AB49" s="1801"/>
      <c r="AC49" s="1800">
        <f t="shared" ref="AC49:AE49" si="224">AC41-SUM(AC35:AC36,AC38:AC39,AC28,AC30)</f>
        <v>0</v>
      </c>
      <c r="AD49" s="1800">
        <f t="shared" si="224"/>
        <v>0</v>
      </c>
      <c r="AE49" s="1800">
        <f t="shared" si="224"/>
        <v>0</v>
      </c>
      <c r="AF49" s="1793"/>
      <c r="AG49" s="1793"/>
      <c r="AH49" s="1801" t="str">
        <f t="shared" si="197"/>
        <v>Check: Skulder</v>
      </c>
      <c r="AI49" s="1802"/>
      <c r="AJ49" s="1802"/>
      <c r="AK49" s="1800">
        <f t="shared" ref="AK49" si="225">AK41-SUM(AK35:AK36,AK38:AK39,AK28,AK30)</f>
        <v>0</v>
      </c>
      <c r="AL49" s="1800">
        <f t="shared" ref="AL49:AT49" si="226">AL41-SUM(AL35:AL36,AL38:AL39,AL28,AL30)</f>
        <v>0</v>
      </c>
      <c r="AM49" s="1800">
        <f t="shared" si="226"/>
        <v>0</v>
      </c>
      <c r="AN49" s="1800">
        <f t="shared" si="226"/>
        <v>0</v>
      </c>
      <c r="AO49" s="1800">
        <f t="shared" si="226"/>
        <v>0</v>
      </c>
      <c r="AP49" s="1800">
        <f t="shared" si="226"/>
        <v>0</v>
      </c>
      <c r="AQ49" s="1800">
        <f t="shared" si="226"/>
        <v>0</v>
      </c>
      <c r="AR49" s="1800">
        <f t="shared" si="226"/>
        <v>0</v>
      </c>
      <c r="AS49" s="1800">
        <f t="shared" si="226"/>
        <v>0</v>
      </c>
      <c r="AT49" s="1800">
        <f t="shared" si="226"/>
        <v>0</v>
      </c>
      <c r="AU49" s="401"/>
      <c r="AW49" s="824" t="str">
        <f t="shared" si="200"/>
        <v>Check: Skulder</v>
      </c>
      <c r="AX49" s="801"/>
      <c r="AY49" s="1800">
        <f t="shared" ref="AY49:BH49" si="227">AY41-SUM(AY35:AY36,AY38:AY39,AY28,AY30)</f>
        <v>0</v>
      </c>
      <c r="AZ49" s="1800">
        <f t="shared" si="227"/>
        <v>0</v>
      </c>
      <c r="BA49" s="1800">
        <f t="shared" si="227"/>
        <v>0</v>
      </c>
      <c r="BB49" s="1800">
        <f t="shared" si="227"/>
        <v>0</v>
      </c>
      <c r="BC49" s="1800">
        <f t="shared" si="227"/>
        <v>0</v>
      </c>
      <c r="BD49" s="1800">
        <f t="shared" si="227"/>
        <v>0</v>
      </c>
      <c r="BE49" s="1800">
        <f t="shared" si="227"/>
        <v>0</v>
      </c>
      <c r="BF49" s="1800">
        <f t="shared" si="227"/>
        <v>0</v>
      </c>
      <c r="BG49" s="1800">
        <f t="shared" si="227"/>
        <v>0</v>
      </c>
      <c r="BH49" s="1800">
        <f t="shared" si="227"/>
        <v>0</v>
      </c>
      <c r="BI49" s="1795"/>
      <c r="BJ49" s="1795"/>
      <c r="BK49" s="824" t="str">
        <f t="shared" si="202"/>
        <v>Check: Skulder</v>
      </c>
      <c r="BL49" s="824"/>
      <c r="BM49" s="1800">
        <f t="shared" ref="BM49:BV49" si="228">BM41-SUM(BM35:BM36,BM38:BM39,BM28,BM30)</f>
        <v>0</v>
      </c>
      <c r="BN49" s="1800">
        <f t="shared" si="228"/>
        <v>-4.9382720135326963E-13</v>
      </c>
      <c r="BO49" s="1800">
        <f t="shared" si="228"/>
        <v>4.3698378249246161E-13</v>
      </c>
      <c r="BP49" s="1800">
        <f t="shared" si="228"/>
        <v>1.6342482922482304E-13</v>
      </c>
      <c r="BQ49" s="1800">
        <f t="shared" si="228"/>
        <v>-1.2256862191861728E-13</v>
      </c>
      <c r="BR49" s="1800">
        <f t="shared" si="228"/>
        <v>-1.9539925233402755E-14</v>
      </c>
      <c r="BS49" s="1800">
        <f t="shared" si="228"/>
        <v>1.0658141036401503E-13</v>
      </c>
      <c r="BT49" s="1800">
        <f t="shared" si="228"/>
        <v>-4.0856207306205761E-13</v>
      </c>
      <c r="BU49" s="1800">
        <f t="shared" si="228"/>
        <v>4.5830006456526462E-13</v>
      </c>
      <c r="BV49" s="1800">
        <f t="shared" si="228"/>
        <v>-1.3500311979441904E-13</v>
      </c>
      <c r="BW49" s="1795"/>
      <c r="BX49" s="1795"/>
      <c r="BY49" s="1796" t="str">
        <f t="shared" si="204"/>
        <v>Check: Skulder</v>
      </c>
      <c r="BZ49" s="1800">
        <f t="shared" ref="BZ49:CB49" si="229">BZ41-SUM(BZ35:BZ36,BZ38:BZ39,BZ28,BZ30)</f>
        <v>0</v>
      </c>
      <c r="CA49" s="1800">
        <f t="shared" si="229"/>
        <v>0</v>
      </c>
      <c r="CB49" s="1800">
        <f t="shared" si="229"/>
        <v>0</v>
      </c>
      <c r="CC49" s="1798"/>
      <c r="CD49" s="1798"/>
      <c r="CE49" s="1798"/>
      <c r="CF49" s="1796" t="s">
        <v>488</v>
      </c>
      <c r="CG49" s="1800">
        <f t="shared" ref="CG49:CI49" si="230">CG41-SUM(CG35:CG36,CG38:CG39,CG28,CG30)</f>
        <v>0</v>
      </c>
      <c r="CH49" s="1800">
        <f t="shared" si="230"/>
        <v>0</v>
      </c>
      <c r="CI49" s="1800">
        <f t="shared" si="230"/>
        <v>0</v>
      </c>
      <c r="CJ49" s="1798"/>
      <c r="CK49" s="1798"/>
      <c r="CL49" s="1796" t="str">
        <f t="shared" si="207"/>
        <v>Check: Skulder</v>
      </c>
      <c r="CM49" s="1800">
        <f t="shared" ref="CM49:CO49" si="231">CM41-SUM(CM35:CM36,CM38:CM39,CM28,CM30)</f>
        <v>0</v>
      </c>
      <c r="CN49" s="1800">
        <f t="shared" si="231"/>
        <v>0</v>
      </c>
      <c r="CO49" s="1800">
        <f t="shared" si="231"/>
        <v>0</v>
      </c>
      <c r="CP49" s="1795"/>
      <c r="CQ49" s="1795"/>
      <c r="CR49" s="1796" t="str">
        <f t="shared" si="209"/>
        <v>Check: Skulder</v>
      </c>
      <c r="CS49" s="1797">
        <f t="shared" ref="CS49:CU49" si="232">CS41-SUM(CS35:CS36,CS38:CS39,CS28,CS30)</f>
        <v>0</v>
      </c>
      <c r="CT49" s="1797">
        <f t="shared" si="232"/>
        <v>0</v>
      </c>
      <c r="CU49" s="1797">
        <f t="shared" si="232"/>
        <v>0</v>
      </c>
    </row>
    <row r="50" spans="5:100" s="398" customFormat="1" outlineLevel="1" x14ac:dyDescent="0.15">
      <c r="W50" s="396"/>
      <c r="X50" s="396"/>
      <c r="Y50" s="396"/>
      <c r="Z50" s="796"/>
      <c r="AC50" s="396"/>
      <c r="AD50" s="396"/>
      <c r="AE50" s="396"/>
      <c r="AF50" s="396"/>
      <c r="AG50" s="396"/>
      <c r="AU50" s="401"/>
      <c r="AY50" s="962"/>
      <c r="AZ50" s="962"/>
      <c r="BA50" s="962"/>
      <c r="BB50" s="962"/>
      <c r="BC50" s="962"/>
      <c r="BD50" s="962"/>
      <c r="BE50" s="962"/>
      <c r="BF50" s="962"/>
      <c r="BG50" s="962"/>
      <c r="BH50" s="962"/>
      <c r="BI50" s="962"/>
      <c r="BJ50" s="962"/>
      <c r="BK50" s="962"/>
      <c r="BL50" s="962"/>
      <c r="BM50" s="962"/>
      <c r="BN50" s="962"/>
      <c r="BO50" s="962"/>
      <c r="BP50" s="962"/>
      <c r="BQ50" s="962"/>
      <c r="BR50" s="962"/>
      <c r="BS50" s="962"/>
      <c r="BT50" s="962"/>
      <c r="BU50" s="962"/>
      <c r="BV50" s="962"/>
      <c r="BW50" s="962"/>
      <c r="BX50" s="962"/>
      <c r="BY50" s="962"/>
      <c r="BZ50" s="962"/>
      <c r="CA50" s="888"/>
      <c r="CB50" s="888"/>
      <c r="CC50" s="888"/>
      <c r="CD50" s="888"/>
      <c r="CE50" s="888"/>
      <c r="CF50" s="962"/>
      <c r="CG50" s="962"/>
      <c r="CH50" s="888"/>
      <c r="CI50" s="888"/>
      <c r="CJ50" s="888"/>
      <c r="CK50" s="888"/>
      <c r="CL50" s="962"/>
      <c r="CM50" s="962"/>
      <c r="CN50" s="962"/>
      <c r="CO50" s="962"/>
      <c r="CP50" s="962"/>
      <c r="CQ50" s="962"/>
      <c r="CR50" s="962"/>
      <c r="CS50" s="962"/>
      <c r="CT50" s="962"/>
      <c r="CU50" s="962"/>
    </row>
    <row r="51" spans="5:100" s="398" customFormat="1" outlineLevel="1" x14ac:dyDescent="0.15">
      <c r="E51" s="214"/>
      <c r="F51" s="214"/>
      <c r="G51" s="214"/>
      <c r="H51" s="214">
        <f>H$2</f>
        <v>2403</v>
      </c>
      <c r="I51" s="214">
        <f>I$2</f>
        <v>2406</v>
      </c>
      <c r="J51" s="214">
        <f>J$2</f>
        <v>2409</v>
      </c>
      <c r="K51" s="214">
        <f>K$2</f>
        <v>2412</v>
      </c>
      <c r="L51" s="214">
        <f>L$2</f>
        <v>2503</v>
      </c>
      <c r="M51" s="214">
        <f t="shared" ref="M51:Q51" si="233">M$2</f>
        <v>2506</v>
      </c>
      <c r="N51" s="214">
        <f t="shared" si="233"/>
        <v>2509</v>
      </c>
      <c r="O51" s="214">
        <f t="shared" si="233"/>
        <v>2512</v>
      </c>
      <c r="P51" s="214">
        <f t="shared" si="233"/>
        <v>2603</v>
      </c>
      <c r="Q51" s="214">
        <f t="shared" si="233"/>
        <v>2606</v>
      </c>
      <c r="R51" s="214"/>
      <c r="S51" s="214"/>
      <c r="W51" s="396"/>
      <c r="X51" s="396"/>
      <c r="Y51" s="396"/>
      <c r="Z51" s="796"/>
      <c r="AC51" s="396"/>
      <c r="AD51" s="396"/>
      <c r="AE51" s="396"/>
      <c r="AF51" s="396"/>
      <c r="AG51" s="396"/>
      <c r="AU51" s="401"/>
      <c r="AY51" s="962"/>
      <c r="AZ51" s="962"/>
      <c r="BA51" s="962"/>
      <c r="BB51" s="962"/>
      <c r="BC51" s="962"/>
      <c r="BD51" s="962"/>
      <c r="BE51" s="962"/>
      <c r="BF51" s="962"/>
      <c r="BG51" s="962"/>
      <c r="BH51" s="962"/>
      <c r="BI51" s="962"/>
      <c r="BJ51" s="962"/>
      <c r="BK51" s="962"/>
      <c r="BL51" s="962"/>
      <c r="BM51" s="962"/>
      <c r="BN51" s="962"/>
      <c r="BO51" s="962"/>
      <c r="BP51" s="962"/>
      <c r="BQ51" s="962"/>
      <c r="BR51" s="962"/>
      <c r="BS51" s="962"/>
      <c r="BT51" s="962"/>
      <c r="BU51" s="962"/>
      <c r="BV51" s="962"/>
      <c r="BW51" s="962"/>
      <c r="BX51" s="962"/>
      <c r="BY51" s="962"/>
      <c r="BZ51" s="962"/>
      <c r="CA51" s="888"/>
      <c r="CB51" s="888"/>
      <c r="CC51" s="888"/>
      <c r="CD51" s="888"/>
      <c r="CE51" s="888"/>
      <c r="CF51" s="962"/>
      <c r="CG51" s="962"/>
      <c r="CH51" s="888"/>
      <c r="CI51" s="888"/>
      <c r="CJ51" s="888"/>
      <c r="CK51" s="888"/>
      <c r="CL51" s="962"/>
      <c r="CM51" s="962"/>
      <c r="CN51" s="962"/>
      <c r="CO51" s="962"/>
      <c r="CP51" s="962"/>
      <c r="CQ51" s="962"/>
      <c r="CR51" s="962"/>
      <c r="CS51" s="962"/>
      <c r="CT51" s="962"/>
      <c r="CU51" s="962"/>
    </row>
    <row r="52" spans="5:100" s="398" customFormat="1" outlineLevel="1" x14ac:dyDescent="0.15">
      <c r="E52" s="825" t="str">
        <f>'Koncern RR '!D54</f>
        <v>Varav periodens totalresultat hänförligt till:</v>
      </c>
      <c r="F52" s="825"/>
      <c r="G52" s="825"/>
      <c r="H52" s="826"/>
      <c r="I52" s="826"/>
      <c r="J52" s="826"/>
      <c r="K52" s="826"/>
      <c r="L52" s="826"/>
      <c r="M52" s="826"/>
      <c r="N52" s="826"/>
      <c r="O52" s="826"/>
      <c r="P52" s="826"/>
      <c r="Q52" s="826"/>
      <c r="R52" s="826"/>
      <c r="S52" s="826"/>
      <c r="U52" s="961"/>
      <c r="V52" s="961"/>
      <c r="W52" s="887"/>
      <c r="X52" s="887"/>
      <c r="Y52" s="887"/>
      <c r="Z52" s="1216"/>
      <c r="AA52" s="961"/>
      <c r="AB52" s="961"/>
      <c r="AC52" s="887"/>
      <c r="AD52" s="887"/>
      <c r="AE52" s="887"/>
      <c r="AF52" s="396"/>
      <c r="AG52" s="396"/>
      <c r="AH52" s="827" t="str">
        <f>'Koncern RR '!CI54</f>
        <v>Varav periodens totalresultat hänförligt till:</v>
      </c>
      <c r="AI52" s="827"/>
      <c r="AJ52" s="827"/>
      <c r="AK52" s="826"/>
      <c r="AL52" s="826"/>
      <c r="AM52" s="826"/>
      <c r="AN52" s="826"/>
      <c r="AO52" s="826"/>
      <c r="AP52" s="826"/>
      <c r="AQ52" s="826"/>
      <c r="AR52" s="826"/>
      <c r="AS52" s="826"/>
      <c r="AT52" s="826"/>
      <c r="AU52" s="401"/>
      <c r="CK52" s="396"/>
    </row>
    <row r="53" spans="5:100" s="398" customFormat="1" outlineLevel="1" x14ac:dyDescent="0.15">
      <c r="E53" s="825" t="str">
        <f>'Koncern RR '!D55</f>
        <v>Moderbolagets ägare</v>
      </c>
      <c r="F53" s="825"/>
      <c r="G53" s="1046"/>
      <c r="H53" s="1047">
        <f>'Koncern RR '!G55</f>
        <v>24.200000000000042</v>
      </c>
      <c r="I53" s="1047">
        <f>'Koncern RR '!H55</f>
        <v>66.100000000000108</v>
      </c>
      <c r="J53" s="1047">
        <f>'Koncern RR '!I55</f>
        <v>87.599999999999895</v>
      </c>
      <c r="K53" s="1047">
        <f>'Koncern RR '!J55</f>
        <v>96.300000000000139</v>
      </c>
      <c r="L53" s="1047">
        <f>'Koncern RR '!K55</f>
        <v>51.400000000000063</v>
      </c>
      <c r="M53" s="1047">
        <f>'Koncern RR '!L55</f>
        <v>61.799999999999926</v>
      </c>
      <c r="N53" s="1047">
        <f>'Koncern RR '!M55</f>
        <v>79.40000000000002</v>
      </c>
      <c r="O53" s="1047">
        <f>'Koncern RR '!N55</f>
        <v>78.100000000000122</v>
      </c>
      <c r="P53" s="1047">
        <f>'Koncern RR '!O55</f>
        <v>29.999999999999986</v>
      </c>
      <c r="Q53" s="1047">
        <f>'Koncern RR '!P55</f>
        <v>96.700000000000045</v>
      </c>
      <c r="R53" s="1047"/>
      <c r="S53" s="1047"/>
      <c r="T53" s="961"/>
      <c r="U53" s="961"/>
      <c r="V53" s="961"/>
      <c r="W53" s="887"/>
      <c r="X53" s="887"/>
      <c r="Y53" s="887"/>
      <c r="Z53" s="1216"/>
      <c r="AA53" s="961"/>
      <c r="AB53" s="961"/>
      <c r="AC53" s="887"/>
      <c r="AD53" s="887"/>
      <c r="AE53" s="887"/>
      <c r="AF53" s="887"/>
      <c r="AG53" s="887"/>
      <c r="AH53" s="1047" t="str">
        <f>'Koncern RR '!CI55</f>
        <v>Moderbolagets ägare</v>
      </c>
      <c r="AI53" s="1047"/>
      <c r="AJ53" s="1047"/>
      <c r="AK53" s="221">
        <f>'Koncern RR '!CK55</f>
        <v>5.6971850000000135</v>
      </c>
      <c r="AL53" s="221">
        <f>'Koncern RR '!CL55</f>
        <v>23.89678500000004</v>
      </c>
      <c r="AM53" s="221">
        <f>'Koncern RR '!CM55</f>
        <v>3.0719849999998567</v>
      </c>
      <c r="AN53" s="221">
        <f>'Koncern RR '!CN55</f>
        <v>-5.0900149999998172</v>
      </c>
      <c r="AO53" s="221">
        <f>'Koncern RR '!CO55</f>
        <v>32.467350000000053</v>
      </c>
      <c r="AP53" s="221">
        <f>'Koncern RR '!CP55</f>
        <v>-6.604250000000162</v>
      </c>
      <c r="AQ53" s="221">
        <f>'Koncern RR '!CQ55</f>
        <v>-4.5768499999999364</v>
      </c>
      <c r="AR53" s="221">
        <f>'Koncern RR '!CR55</f>
        <v>-18.497049999999909</v>
      </c>
      <c r="AS53" s="221">
        <f>'Koncern RR '!CS55</f>
        <v>11.34409025199998</v>
      </c>
      <c r="AT53" s="221">
        <f>'Koncern RR '!CT55</f>
        <v>45.936047664000093</v>
      </c>
      <c r="CK53" s="396"/>
    </row>
    <row r="54" spans="5:100" s="398" customFormat="1" outlineLevel="1" x14ac:dyDescent="0.15">
      <c r="E54" s="825" t="str">
        <f>'Koncern RR '!D56</f>
        <v>Innehav utan bestämmande inflytande</v>
      </c>
      <c r="F54" s="825"/>
      <c r="G54" s="1046"/>
      <c r="H54" s="1047">
        <f>'Koncern RR '!G56</f>
        <v>2.1</v>
      </c>
      <c r="I54" s="1047">
        <f>'Koncern RR '!H56</f>
        <v>4.3</v>
      </c>
      <c r="J54" s="1047">
        <f>'Koncern RR '!I56</f>
        <v>6.4</v>
      </c>
      <c r="K54" s="1047">
        <f>'Koncern RR '!J56</f>
        <v>6.4</v>
      </c>
      <c r="L54" s="1047">
        <f>'Koncern RR '!K56</f>
        <v>1.6</v>
      </c>
      <c r="M54" s="1047">
        <f>'Koncern RR '!L56</f>
        <v>3</v>
      </c>
      <c r="N54" s="1047">
        <f>'Koncern RR '!M56</f>
        <v>3.8</v>
      </c>
      <c r="O54" s="1047">
        <f>'Koncern RR '!N56</f>
        <v>4.5999999999999996</v>
      </c>
      <c r="P54" s="1047">
        <f>'Koncern RR '!O56</f>
        <v>1.1000000000000001</v>
      </c>
      <c r="Q54" s="1047">
        <f>'Koncern RR '!P56</f>
        <v>2.6</v>
      </c>
      <c r="R54" s="1047"/>
      <c r="S54" s="1047"/>
      <c r="T54" s="961"/>
      <c r="Z54" s="445"/>
      <c r="AF54" s="887"/>
      <c r="AG54" s="887"/>
      <c r="AH54" s="1047" t="str">
        <f>'Koncern RR '!CI56</f>
        <v>Innehav utan bestämmande inflytande</v>
      </c>
      <c r="AI54" s="1047"/>
      <c r="AJ54" s="1047"/>
      <c r="AK54" s="221">
        <f>'Koncern RR '!CK56</f>
        <v>2.077</v>
      </c>
      <c r="AL54" s="221">
        <f>'Koncern RR '!CL56</f>
        <v>2.1870000000000003</v>
      </c>
      <c r="AM54" s="221">
        <f>'Koncern RR '!CM56</f>
        <v>2.1269999999999998</v>
      </c>
      <c r="AN54" s="221">
        <f>'Koncern RR '!CN56</f>
        <v>3.9999999999995595E-3</v>
      </c>
      <c r="AO54" s="221">
        <f>'Koncern RR '!CO56</f>
        <v>1.593</v>
      </c>
      <c r="AP54" s="221">
        <f>'Koncern RR '!CP56</f>
        <v>1.4060000000000001</v>
      </c>
      <c r="AQ54" s="221">
        <f>'Koncern RR '!CQ56</f>
        <v>0.84299999999999997</v>
      </c>
      <c r="AR54" s="221">
        <f>'Koncern RR '!CR56</f>
        <v>0.74299999999999988</v>
      </c>
      <c r="AS54" s="221">
        <f>'Koncern RR '!CS56</f>
        <v>1.103</v>
      </c>
      <c r="AT54" s="221">
        <f>'Koncern RR '!CT56</f>
        <v>1.5370000000000001</v>
      </c>
      <c r="CK54" s="396"/>
    </row>
    <row r="55" spans="5:100" s="398" customFormat="1" x14ac:dyDescent="0.15">
      <c r="W55" s="396"/>
      <c r="X55" s="396"/>
      <c r="Y55" s="396"/>
      <c r="Z55" s="796"/>
      <c r="AC55" s="396"/>
      <c r="AD55" s="396"/>
      <c r="AE55" s="396"/>
      <c r="CK55" s="396"/>
    </row>
    <row r="56" spans="5:100" s="398" customFormat="1" x14ac:dyDescent="0.15">
      <c r="E56" s="421" t="s">
        <v>489</v>
      </c>
      <c r="W56" s="396"/>
      <c r="X56" s="396"/>
      <c r="Y56" s="396"/>
      <c r="Z56" s="796"/>
      <c r="AC56" s="396"/>
      <c r="AD56" s="396"/>
      <c r="AE56" s="396"/>
      <c r="AF56" s="396"/>
      <c r="AG56" s="396"/>
      <c r="AH56" s="421" t="str">
        <f>$E56</f>
        <v>Split Minoritet / Majoritet</v>
      </c>
      <c r="AW56" s="421" t="str">
        <f>$E56</f>
        <v>Split Minoritet / Majoritet</v>
      </c>
      <c r="BY56" s="421" t="str">
        <f>$E56</f>
        <v>Split Minoritet / Majoritet</v>
      </c>
      <c r="CF56" s="421" t="str">
        <f>$E56</f>
        <v>Split Minoritet / Majoritet</v>
      </c>
      <c r="CL56" s="421" t="str">
        <f>$E56</f>
        <v>Split Minoritet / Majoritet</v>
      </c>
      <c r="CR56" s="421" t="str">
        <f>$E56</f>
        <v>Split Minoritet / Majoritet</v>
      </c>
    </row>
    <row r="57" spans="5:100" s="398" customFormat="1" x14ac:dyDescent="0.15">
      <c r="E57" s="214"/>
      <c r="F57" s="214"/>
      <c r="G57" s="214"/>
      <c r="H57" s="214">
        <f>H$2</f>
        <v>2403</v>
      </c>
      <c r="I57" s="214">
        <f>I$2</f>
        <v>2406</v>
      </c>
      <c r="J57" s="214">
        <f>J$2</f>
        <v>2409</v>
      </c>
      <c r="K57" s="214">
        <f>K$2</f>
        <v>2412</v>
      </c>
      <c r="L57" s="214">
        <f>L$2</f>
        <v>2503</v>
      </c>
      <c r="M57" s="214">
        <f t="shared" ref="M57:Q57" si="234">M$2</f>
        <v>2506</v>
      </c>
      <c r="N57" s="214">
        <f t="shared" si="234"/>
        <v>2509</v>
      </c>
      <c r="O57" s="214">
        <f t="shared" si="234"/>
        <v>2512</v>
      </c>
      <c r="P57" s="214">
        <f t="shared" si="234"/>
        <v>2603</v>
      </c>
      <c r="Q57" s="214">
        <f t="shared" si="234"/>
        <v>2606</v>
      </c>
      <c r="R57" s="214"/>
      <c r="S57" s="214"/>
      <c r="W57" s="396"/>
      <c r="X57" s="396"/>
      <c r="Y57" s="396"/>
      <c r="Z57" s="796"/>
      <c r="AC57" s="396"/>
      <c r="AD57" s="396"/>
      <c r="AE57" s="396"/>
      <c r="AF57" s="396"/>
      <c r="AG57" s="396"/>
      <c r="AH57" s="214"/>
      <c r="AI57" s="214"/>
      <c r="AJ57" s="214"/>
      <c r="AK57" s="214">
        <f t="shared" ref="AK57:AT57" si="235">H57</f>
        <v>2403</v>
      </c>
      <c r="AL57" s="214">
        <f t="shared" si="235"/>
        <v>2406</v>
      </c>
      <c r="AM57" s="214">
        <f t="shared" si="235"/>
        <v>2409</v>
      </c>
      <c r="AN57" s="214">
        <f t="shared" si="235"/>
        <v>2412</v>
      </c>
      <c r="AO57" s="214">
        <f t="shared" si="235"/>
        <v>2503</v>
      </c>
      <c r="AP57" s="214">
        <f t="shared" si="235"/>
        <v>2506</v>
      </c>
      <c r="AQ57" s="214">
        <f t="shared" si="235"/>
        <v>2509</v>
      </c>
      <c r="AR57" s="214">
        <f t="shared" si="235"/>
        <v>2512</v>
      </c>
      <c r="AS57" s="214">
        <f t="shared" si="235"/>
        <v>2603</v>
      </c>
      <c r="AT57" s="214">
        <f t="shared" si="235"/>
        <v>2606</v>
      </c>
      <c r="AW57" s="422"/>
      <c r="AX57" s="422"/>
      <c r="AY57" s="214">
        <f t="shared" ref="AY57:BH57" si="236">AY$44</f>
        <v>2403</v>
      </c>
      <c r="AZ57" s="214">
        <f t="shared" si="236"/>
        <v>2406</v>
      </c>
      <c r="BA57" s="214">
        <f t="shared" si="236"/>
        <v>2409</v>
      </c>
      <c r="BB57" s="214">
        <f t="shared" si="236"/>
        <v>2412</v>
      </c>
      <c r="BC57" s="214">
        <f t="shared" si="236"/>
        <v>2503</v>
      </c>
      <c r="BD57" s="214">
        <f t="shared" si="236"/>
        <v>2506</v>
      </c>
      <c r="BE57" s="214">
        <f t="shared" si="236"/>
        <v>2509</v>
      </c>
      <c r="BF57" s="214">
        <f t="shared" si="236"/>
        <v>2512</v>
      </c>
      <c r="BG57" s="214">
        <f t="shared" si="236"/>
        <v>2603</v>
      </c>
      <c r="BH57" s="214">
        <f t="shared" si="236"/>
        <v>2606</v>
      </c>
      <c r="BY57" s="214"/>
      <c r="BZ57" s="214">
        <f t="shared" ref="BZ57:CA57" si="237">BZ$44</f>
        <v>2026</v>
      </c>
      <c r="CA57" s="214">
        <f t="shared" si="237"/>
        <v>2025</v>
      </c>
      <c r="CB57" s="214"/>
      <c r="CF57" s="214"/>
      <c r="CG57" s="214">
        <f t="shared" ref="CG57:CI57" si="238">CG$44</f>
        <v>2026</v>
      </c>
      <c r="CH57" s="214">
        <f t="shared" si="238"/>
        <v>2025</v>
      </c>
      <c r="CI57" s="214">
        <f t="shared" si="238"/>
        <v>2025</v>
      </c>
      <c r="CL57" s="214"/>
      <c r="CM57" s="214" t="str">
        <f t="shared" ref="CM57:CO57" si="239">CM$44</f>
        <v>30 jun 2026</v>
      </c>
      <c r="CN57" s="214" t="str">
        <f t="shared" si="239"/>
        <v>Justering</v>
      </c>
      <c r="CO57" s="422" t="str">
        <f t="shared" si="239"/>
        <v>30 jun 2026</v>
      </c>
      <c r="CR57" s="422"/>
      <c r="CS57" s="214" t="str">
        <f t="shared" ref="CS57:CU57" si="240">CS$44</f>
        <v>30 jun 2026</v>
      </c>
      <c r="CT57" s="214" t="str">
        <f t="shared" si="240"/>
        <v>Adjustment</v>
      </c>
      <c r="CU57" s="422" t="str">
        <f t="shared" si="240"/>
        <v>30 jun 2026</v>
      </c>
    </row>
    <row r="58" spans="5:100" s="398" customFormat="1" x14ac:dyDescent="0.15">
      <c r="E58" s="828" t="s">
        <v>490</v>
      </c>
      <c r="F58" s="829"/>
      <c r="G58" s="829"/>
      <c r="H58" s="1053">
        <f t="shared" ref="H58:P58" si="241">(H28)/(H28+H30)</f>
        <v>0.97616079775631048</v>
      </c>
      <c r="I58" s="1053">
        <f t="shared" si="241"/>
        <v>0.96686700570195716</v>
      </c>
      <c r="J58" s="1053">
        <f t="shared" si="241"/>
        <v>0.97490985576923073</v>
      </c>
      <c r="K58" s="1053">
        <f t="shared" si="241"/>
        <v>0.9752335755598398</v>
      </c>
      <c r="L58" s="1053">
        <f t="shared" si="241"/>
        <v>0.98144301343304252</v>
      </c>
      <c r="M58" s="1053">
        <f t="shared" si="241"/>
        <v>0.97818912326015206</v>
      </c>
      <c r="N58" s="1053">
        <f t="shared" si="241"/>
        <v>0.97721235845099963</v>
      </c>
      <c r="O58" s="1053">
        <f t="shared" si="241"/>
        <v>0.97761611639619472</v>
      </c>
      <c r="P58" s="1053">
        <f t="shared" si="241"/>
        <v>0.97992675979926769</v>
      </c>
      <c r="Q58" s="1053">
        <f>(Q28)/(Q28+Q30)</f>
        <v>0.98659217877094973</v>
      </c>
      <c r="R58" s="1053"/>
      <c r="S58" s="830"/>
      <c r="W58" s="396"/>
      <c r="X58" s="396"/>
      <c r="Y58" s="396"/>
      <c r="Z58" s="796"/>
      <c r="AC58" s="396"/>
      <c r="AD58" s="396"/>
      <c r="AE58" s="396"/>
      <c r="AF58" s="396"/>
      <c r="AG58" s="396"/>
      <c r="AH58" s="426" t="str">
        <f>E58</f>
        <v>MBs aktieägare</v>
      </c>
      <c r="AI58" s="426"/>
      <c r="AJ58" s="426"/>
      <c r="AK58" s="1048">
        <v>0.98</v>
      </c>
      <c r="AL58" s="1048">
        <v>0.98</v>
      </c>
      <c r="AM58" s="1048">
        <v>0.98</v>
      </c>
      <c r="AN58" s="1048">
        <v>0.98</v>
      </c>
      <c r="AO58" s="1048">
        <v>0.98</v>
      </c>
      <c r="AP58" s="1048">
        <v>0.98</v>
      </c>
      <c r="AQ58" s="1048">
        <v>0.98</v>
      </c>
      <c r="AR58" s="1048">
        <v>0.98</v>
      </c>
      <c r="AS58" s="1048">
        <v>0.98</v>
      </c>
      <c r="AT58" s="1048">
        <v>0.98</v>
      </c>
    </row>
    <row r="59" spans="5:100" s="398" customFormat="1" x14ac:dyDescent="0.15">
      <c r="E59" s="832" t="s">
        <v>346</v>
      </c>
      <c r="F59" s="833"/>
      <c r="G59" s="833"/>
      <c r="H59" s="1054">
        <f t="shared" ref="H59:Q59" si="242">(H30)/(H28+H30)</f>
        <v>2.3839202243689624E-2</v>
      </c>
      <c r="I59" s="1054">
        <f t="shared" si="242"/>
        <v>3.3132994298042846E-2</v>
      </c>
      <c r="J59" s="1054">
        <f t="shared" si="242"/>
        <v>2.5090144230769228E-2</v>
      </c>
      <c r="K59" s="1054">
        <f t="shared" si="242"/>
        <v>2.4766424440160167E-2</v>
      </c>
      <c r="L59" s="1054">
        <f t="shared" si="242"/>
        <v>1.8556986566957485E-2</v>
      </c>
      <c r="M59" s="1054">
        <f t="shared" si="242"/>
        <v>2.1810876739847898E-2</v>
      </c>
      <c r="N59" s="1054">
        <f t="shared" si="242"/>
        <v>2.2787641549000422E-2</v>
      </c>
      <c r="O59" s="1054">
        <f t="shared" si="242"/>
        <v>2.2383883603805263E-2</v>
      </c>
      <c r="P59" s="1054">
        <f t="shared" si="242"/>
        <v>2.0073240200732406E-2</v>
      </c>
      <c r="Q59" s="1054">
        <f t="shared" si="242"/>
        <v>1.3407821229050281E-2</v>
      </c>
      <c r="R59" s="1054"/>
      <c r="S59" s="834"/>
      <c r="W59" s="396"/>
      <c r="X59" s="396"/>
      <c r="Y59" s="396"/>
      <c r="Z59" s="796"/>
      <c r="AC59" s="396"/>
      <c r="AD59" s="396"/>
      <c r="AE59" s="396"/>
      <c r="AF59" s="396"/>
      <c r="AG59" s="396"/>
      <c r="AH59" s="426" t="str">
        <f>E59</f>
        <v>Innehav utan bestämmande inflytande</v>
      </c>
      <c r="AI59" s="426"/>
      <c r="AJ59" s="426"/>
      <c r="AK59" s="1048">
        <v>0.02</v>
      </c>
      <c r="AL59" s="1048">
        <v>0.02</v>
      </c>
      <c r="AM59" s="1048">
        <v>0.02</v>
      </c>
      <c r="AN59" s="1048">
        <v>0.02</v>
      </c>
      <c r="AO59" s="1048">
        <v>0.02</v>
      </c>
      <c r="AP59" s="1048">
        <v>0.02</v>
      </c>
      <c r="AQ59" s="1048">
        <v>0.02</v>
      </c>
      <c r="AR59" s="1048">
        <v>0.02</v>
      </c>
      <c r="AS59" s="1048">
        <v>0.02</v>
      </c>
      <c r="AT59" s="1048">
        <v>0.02</v>
      </c>
    </row>
    <row r="60" spans="5:100" s="398" customFormat="1" x14ac:dyDescent="0.15">
      <c r="E60" s="835" t="s">
        <v>360</v>
      </c>
      <c r="F60" s="836"/>
      <c r="G60" s="836"/>
      <c r="H60" s="1055">
        <f>SUM(H58:H59)</f>
        <v>1</v>
      </c>
      <c r="I60" s="1055">
        <f>SUM(I58:I59)</f>
        <v>1</v>
      </c>
      <c r="J60" s="1055">
        <f>SUM(J58:J59)</f>
        <v>1</v>
      </c>
      <c r="K60" s="1055">
        <f>SUM(K58:K59)</f>
        <v>1</v>
      </c>
      <c r="L60" s="1055">
        <f>SUM(L58:L59)</f>
        <v>1</v>
      </c>
      <c r="M60" s="1055">
        <f t="shared" ref="M60:Q60" si="243">SUM(M58:M59)</f>
        <v>1</v>
      </c>
      <c r="N60" s="1055">
        <f t="shared" si="243"/>
        <v>1</v>
      </c>
      <c r="O60" s="1055">
        <f t="shared" si="243"/>
        <v>1</v>
      </c>
      <c r="P60" s="1055">
        <f t="shared" si="243"/>
        <v>1</v>
      </c>
      <c r="Q60" s="1055">
        <f t="shared" si="243"/>
        <v>1</v>
      </c>
      <c r="R60" s="1055"/>
      <c r="S60" s="837"/>
      <c r="W60" s="396"/>
      <c r="X60" s="396"/>
      <c r="Y60" s="396"/>
      <c r="Z60" s="796"/>
      <c r="AC60" s="396"/>
      <c r="AD60" s="396"/>
      <c r="AE60" s="396"/>
      <c r="AF60" s="396"/>
      <c r="AG60" s="396"/>
      <c r="AH60" s="428" t="str">
        <f>E60</f>
        <v>Total</v>
      </c>
      <c r="AI60" s="428"/>
      <c r="AJ60" s="428"/>
      <c r="AK60" s="1049">
        <f t="shared" ref="AK60:AR60" si="244">SUM(AK58:AK59)</f>
        <v>1</v>
      </c>
      <c r="AL60" s="1049">
        <f t="shared" si="244"/>
        <v>1</v>
      </c>
      <c r="AM60" s="1049">
        <f t="shared" si="244"/>
        <v>1</v>
      </c>
      <c r="AN60" s="1049">
        <f t="shared" si="244"/>
        <v>1</v>
      </c>
      <c r="AO60" s="1049">
        <f t="shared" si="244"/>
        <v>1</v>
      </c>
      <c r="AP60" s="1049">
        <f t="shared" si="244"/>
        <v>1</v>
      </c>
      <c r="AQ60" s="1049">
        <f t="shared" si="244"/>
        <v>1</v>
      </c>
      <c r="AR60" s="1049">
        <f t="shared" si="244"/>
        <v>1</v>
      </c>
      <c r="AS60" s="1049">
        <f t="shared" ref="AS60:AT60" si="245">SUM(AS58:AS59)</f>
        <v>1</v>
      </c>
      <c r="AT60" s="1049">
        <f t="shared" si="245"/>
        <v>1</v>
      </c>
    </row>
    <row r="61" spans="5:100" s="398" customFormat="1" x14ac:dyDescent="0.15">
      <c r="H61" s="1056"/>
      <c r="I61" s="1056"/>
      <c r="J61" s="1056"/>
      <c r="K61" s="1056"/>
      <c r="L61" s="1056"/>
      <c r="M61" s="1056"/>
      <c r="N61" s="1056"/>
      <c r="O61" s="1056"/>
      <c r="P61" s="1056"/>
      <c r="Q61" s="1056"/>
      <c r="R61" s="1056"/>
      <c r="W61" s="396"/>
      <c r="X61" s="396"/>
      <c r="Y61" s="396"/>
      <c r="Z61" s="796"/>
      <c r="AC61" s="396"/>
      <c r="AD61" s="396"/>
      <c r="AE61" s="396"/>
      <c r="AF61" s="396"/>
      <c r="AG61" s="396"/>
      <c r="AK61" s="1050"/>
      <c r="AL61" s="1050"/>
      <c r="AM61" s="1050"/>
      <c r="AN61" s="1050"/>
      <c r="AO61" s="1050"/>
      <c r="AP61" s="1050"/>
      <c r="AQ61" s="1050"/>
      <c r="AR61" s="1050"/>
      <c r="AS61" s="1050"/>
      <c r="AT61" s="1050"/>
    </row>
    <row r="62" spans="5:100" s="398" customFormat="1" x14ac:dyDescent="0.15">
      <c r="E62" s="828" t="s">
        <v>490</v>
      </c>
      <c r="F62" s="829"/>
      <c r="G62" s="829"/>
      <c r="H62" s="1057"/>
      <c r="I62" s="1057"/>
      <c r="J62" s="1057"/>
      <c r="K62" s="1057"/>
      <c r="L62" s="1053">
        <f t="shared" ref="L62:Q62" si="246">(L29)/(L29+L31)</f>
        <v>0.96981132075471699</v>
      </c>
      <c r="M62" s="1053">
        <f t="shared" si="246"/>
        <v>0.95370370370370361</v>
      </c>
      <c r="N62" s="1053">
        <f t="shared" si="246"/>
        <v>0.95432692307692313</v>
      </c>
      <c r="O62" s="1053">
        <f t="shared" si="246"/>
        <v>0.94437726723095539</v>
      </c>
      <c r="P62" s="1053">
        <f t="shared" si="246"/>
        <v>0.96463022508038576</v>
      </c>
      <c r="Q62" s="1053">
        <f t="shared" si="246"/>
        <v>0.97381671701913397</v>
      </c>
      <c r="R62" s="1053"/>
      <c r="S62" s="830"/>
      <c r="W62" s="396"/>
      <c r="X62" s="396"/>
      <c r="Y62" s="396"/>
      <c r="Z62" s="796"/>
      <c r="AC62" s="396"/>
      <c r="AD62" s="396"/>
      <c r="AE62" s="396"/>
      <c r="AF62" s="396"/>
      <c r="AG62" s="396"/>
      <c r="AH62" s="828" t="str">
        <f>$E58</f>
        <v>MBs aktieägare</v>
      </c>
      <c r="AI62" s="831"/>
      <c r="AJ62" s="831"/>
      <c r="AK62" s="1051">
        <f t="shared" ref="AK62:AT62" si="247">(AK28)/(AK28+AK30)</f>
        <v>0.97816425407424756</v>
      </c>
      <c r="AL62" s="1051">
        <f t="shared" si="247"/>
        <v>0.97376150305434694</v>
      </c>
      <c r="AM62" s="1051">
        <f t="shared" si="247"/>
        <v>0.9775683870803421</v>
      </c>
      <c r="AN62" s="1051">
        <f t="shared" si="247"/>
        <v>0.97773131316528872</v>
      </c>
      <c r="AO62" s="1051">
        <f t="shared" si="247"/>
        <v>0.98070787212049804</v>
      </c>
      <c r="AP62" s="1051">
        <f t="shared" si="247"/>
        <v>0.97912915491519925</v>
      </c>
      <c r="AQ62" s="1051">
        <f t="shared" si="247"/>
        <v>0.97864257429355983</v>
      </c>
      <c r="AR62" s="1051">
        <f t="shared" si="247"/>
        <v>0.97884695223488238</v>
      </c>
      <c r="AS62" s="1051">
        <f t="shared" si="247"/>
        <v>0.97996388026201697</v>
      </c>
      <c r="AT62" s="1051">
        <f t="shared" si="247"/>
        <v>0.98334334152422365</v>
      </c>
      <c r="AW62" s="828" t="str">
        <f>$E58</f>
        <v>MBs aktieägare</v>
      </c>
      <c r="AX62" s="215"/>
      <c r="AY62" s="1051">
        <f t="shared" ref="AY62:BH62" si="248">(AY28)/(AY28+AY30)</f>
        <v>0.98</v>
      </c>
      <c r="AZ62" s="1051">
        <f t="shared" si="248"/>
        <v>0.98</v>
      </c>
      <c r="BA62" s="1051">
        <f t="shared" si="248"/>
        <v>0.98</v>
      </c>
      <c r="BB62" s="1051">
        <f t="shared" si="248"/>
        <v>0.98</v>
      </c>
      <c r="BC62" s="1051">
        <f t="shared" si="248"/>
        <v>0.98</v>
      </c>
      <c r="BD62" s="1051">
        <f t="shared" si="248"/>
        <v>0.98</v>
      </c>
      <c r="BE62" s="1051">
        <f t="shared" si="248"/>
        <v>0.98</v>
      </c>
      <c r="BF62" s="1051">
        <f t="shared" si="248"/>
        <v>0.98</v>
      </c>
      <c r="BG62" s="1051">
        <f t="shared" si="248"/>
        <v>0.98000000000000009</v>
      </c>
      <c r="BH62" s="1051">
        <f t="shared" si="248"/>
        <v>0.98</v>
      </c>
      <c r="BI62" s="962"/>
      <c r="BJ62" s="962"/>
      <c r="BK62" s="962"/>
      <c r="BL62" s="962"/>
      <c r="BM62" s="962"/>
      <c r="BN62" s="962"/>
      <c r="BO62" s="962"/>
      <c r="BP62" s="962"/>
      <c r="BQ62" s="962"/>
      <c r="BR62" s="962"/>
      <c r="BS62" s="962"/>
      <c r="BT62" s="962"/>
      <c r="BU62" s="962"/>
      <c r="BV62" s="962"/>
      <c r="BW62" s="962"/>
      <c r="BX62" s="962"/>
      <c r="BY62" s="1107" t="str">
        <f>$E58</f>
        <v>MBs aktieägare</v>
      </c>
      <c r="BZ62" s="211">
        <f>(BZ28)/(BZ28+BZ30)</f>
        <v>0.98334334152422365</v>
      </c>
      <c r="CA62" s="211">
        <f>(CA28)/(CA28+CA30)</f>
        <v>0.97912915491519925</v>
      </c>
      <c r="CB62" s="211">
        <f>(CB28)/(CB28+CB30)</f>
        <v>0.97884695223488238</v>
      </c>
      <c r="CC62" s="962"/>
      <c r="CD62" s="962"/>
      <c r="CE62" s="962"/>
      <c r="CF62" s="1107" t="str">
        <f>$E58</f>
        <v>MBs aktieägare</v>
      </c>
      <c r="CG62" s="211">
        <f>(CG28)/(CG28+CG30)</f>
        <v>0.98334334152422365</v>
      </c>
      <c r="CH62" s="211">
        <f>(CH28)/(CH28+CH30)</f>
        <v>0.97912915491519925</v>
      </c>
      <c r="CI62" s="211">
        <f>(CI28)/(CI28+CI30)</f>
        <v>0.97884695223488238</v>
      </c>
      <c r="CJ62" s="962"/>
      <c r="CK62" s="962"/>
      <c r="CL62" s="1107" t="str">
        <f>$E58</f>
        <v>MBs aktieägare</v>
      </c>
      <c r="CM62" s="211">
        <f>(CM28)/(CM28+CM30)</f>
        <v>0.98659217877094973</v>
      </c>
      <c r="CN62" s="211">
        <f>(CN28)/(CN28+CN30)</f>
        <v>0.98</v>
      </c>
      <c r="CO62" s="211">
        <f>(CO28)/(CO28+CO30)</f>
        <v>0.98334334152422365</v>
      </c>
      <c r="CP62" s="962"/>
      <c r="CQ62" s="962"/>
      <c r="CR62" s="1107" t="str">
        <f>$E58</f>
        <v>MBs aktieägare</v>
      </c>
      <c r="CS62" s="211">
        <f>(CS28)/(CS28+CS30)</f>
        <v>0.98659217877094973</v>
      </c>
      <c r="CT62" s="211">
        <f>(CT28)/(CT28+CT30)</f>
        <v>0.98</v>
      </c>
      <c r="CU62" s="211">
        <f>(CU28)/(CU28+CU30)</f>
        <v>0.98334334152422365</v>
      </c>
      <c r="CV62" s="962"/>
    </row>
    <row r="63" spans="5:100" s="398" customFormat="1" x14ac:dyDescent="0.15">
      <c r="E63" s="832" t="s">
        <v>346</v>
      </c>
      <c r="F63" s="833"/>
      <c r="G63" s="833"/>
      <c r="H63" s="1058"/>
      <c r="I63" s="1058"/>
      <c r="J63" s="1058"/>
      <c r="K63" s="1058"/>
      <c r="L63" s="1054">
        <f t="shared" ref="L63:Q63" si="249">(L31)/(L31+L29)</f>
        <v>3.0188679245282984E-2</v>
      </c>
      <c r="M63" s="1054">
        <f t="shared" si="249"/>
        <v>4.6296296296296349E-2</v>
      </c>
      <c r="N63" s="1054">
        <f t="shared" si="249"/>
        <v>4.5673076923076913E-2</v>
      </c>
      <c r="O63" s="1054">
        <f t="shared" si="249"/>
        <v>5.5622732769044655E-2</v>
      </c>
      <c r="P63" s="1054">
        <f t="shared" si="249"/>
        <v>3.5369774919614162E-2</v>
      </c>
      <c r="Q63" s="1054">
        <f t="shared" si="249"/>
        <v>2.6183282980866054E-2</v>
      </c>
      <c r="R63" s="1054"/>
      <c r="S63" s="834"/>
      <c r="W63" s="396"/>
      <c r="X63" s="396"/>
      <c r="Y63" s="396"/>
      <c r="Z63" s="796"/>
      <c r="AC63" s="396"/>
      <c r="AD63" s="396"/>
      <c r="AE63" s="396"/>
      <c r="AF63" s="396"/>
      <c r="AG63" s="396"/>
      <c r="AH63" s="832" t="str">
        <f>$E59</f>
        <v>Innehav utan bestämmande inflytande</v>
      </c>
      <c r="AI63" s="831"/>
      <c r="AJ63" s="831"/>
      <c r="AK63" s="1051">
        <f t="shared" ref="AK63:AT63" si="250">(AK30)/(AK28+AK30)</f>
        <v>2.1835745925752457E-2</v>
      </c>
      <c r="AL63" s="1051">
        <f t="shared" si="250"/>
        <v>2.6238496945653098E-2</v>
      </c>
      <c r="AM63" s="1051">
        <f t="shared" si="250"/>
        <v>2.2431612919657895E-2</v>
      </c>
      <c r="AN63" s="1051">
        <f t="shared" si="250"/>
        <v>2.2268686834711303E-2</v>
      </c>
      <c r="AO63" s="1051">
        <f t="shared" si="250"/>
        <v>1.9292127879502009E-2</v>
      </c>
      <c r="AP63" s="1051">
        <f t="shared" si="250"/>
        <v>2.0870845084800835E-2</v>
      </c>
      <c r="AQ63" s="1051">
        <f t="shared" si="250"/>
        <v>2.13574257064401E-2</v>
      </c>
      <c r="AR63" s="1051">
        <f t="shared" si="250"/>
        <v>2.1153047765117602E-2</v>
      </c>
      <c r="AS63" s="1051">
        <f t="shared" si="250"/>
        <v>2.0036119737983003E-2</v>
      </c>
      <c r="AT63" s="1051">
        <f t="shared" si="250"/>
        <v>1.6656658475776274E-2</v>
      </c>
      <c r="AW63" s="832" t="str">
        <f>$E59</f>
        <v>Innehav utan bestämmande inflytande</v>
      </c>
      <c r="AX63" s="215"/>
      <c r="AY63" s="1051">
        <f t="shared" ref="AY63:BH63" si="251">(AY30)/(AY28+AY30)</f>
        <v>2.0000000000000004E-2</v>
      </c>
      <c r="AZ63" s="1051">
        <f t="shared" si="251"/>
        <v>1.9999999999999997E-2</v>
      </c>
      <c r="BA63" s="1051">
        <f t="shared" si="251"/>
        <v>0.02</v>
      </c>
      <c r="BB63" s="1051">
        <f t="shared" si="251"/>
        <v>0.02</v>
      </c>
      <c r="BC63" s="1051">
        <f t="shared" si="251"/>
        <v>2.0000000000000004E-2</v>
      </c>
      <c r="BD63" s="1051">
        <f t="shared" si="251"/>
        <v>1.9999999999999997E-2</v>
      </c>
      <c r="BE63" s="1051">
        <f t="shared" si="251"/>
        <v>1.9999999999999997E-2</v>
      </c>
      <c r="BF63" s="1051">
        <f t="shared" si="251"/>
        <v>0.02</v>
      </c>
      <c r="BG63" s="1051">
        <f t="shared" si="251"/>
        <v>2.0000000000000004E-2</v>
      </c>
      <c r="BH63" s="1051">
        <f t="shared" si="251"/>
        <v>2.0000000000000004E-2</v>
      </c>
      <c r="BI63" s="962"/>
      <c r="BJ63" s="962"/>
      <c r="BK63" s="962"/>
      <c r="BL63" s="962"/>
      <c r="BM63" s="962"/>
      <c r="BN63" s="962"/>
      <c r="BO63" s="962"/>
      <c r="BP63" s="962"/>
      <c r="BQ63" s="962"/>
      <c r="BR63" s="962"/>
      <c r="BS63" s="962"/>
      <c r="BT63" s="962"/>
      <c r="BU63" s="962"/>
      <c r="BV63" s="962"/>
      <c r="BW63" s="962"/>
      <c r="BX63" s="962"/>
      <c r="BY63" s="1108" t="str">
        <f>$E59</f>
        <v>Innehav utan bestämmande inflytande</v>
      </c>
      <c r="BZ63" s="211">
        <f>(BZ30)/(BZ28+BZ30)</f>
        <v>1.6656658475776274E-2</v>
      </c>
      <c r="CA63" s="211">
        <f>(CA30)/(CA28+CA30)</f>
        <v>2.0870845084800835E-2</v>
      </c>
      <c r="CB63" s="211">
        <f>(CB30)/(CB28+CB30)</f>
        <v>2.1153047765117602E-2</v>
      </c>
      <c r="CC63" s="962"/>
      <c r="CD63" s="962"/>
      <c r="CE63" s="962"/>
      <c r="CF63" s="1108" t="str">
        <f>$E59</f>
        <v>Innehav utan bestämmande inflytande</v>
      </c>
      <c r="CG63" s="211">
        <f>(CG30)/(CG28+CG30)</f>
        <v>1.6656658475776274E-2</v>
      </c>
      <c r="CH63" s="211">
        <f>(CH30)/(CH28+CH30)</f>
        <v>2.0870845084800835E-2</v>
      </c>
      <c r="CI63" s="211">
        <f>(CI30)/(CI28+CI30)</f>
        <v>2.1153047765117602E-2</v>
      </c>
      <c r="CJ63" s="962"/>
      <c r="CK63" s="962"/>
      <c r="CL63" s="1108" t="str">
        <f>$E59</f>
        <v>Innehav utan bestämmande inflytande</v>
      </c>
      <c r="CM63" s="211">
        <f>(CM30)/(CM28+CM30)</f>
        <v>1.3407821229050281E-2</v>
      </c>
      <c r="CN63" s="211">
        <f>(CN30)/(CN28+CN30)</f>
        <v>2.0000000000000004E-2</v>
      </c>
      <c r="CO63" s="211">
        <f>(CO30)/(CO28+CO30)</f>
        <v>1.6656658475776274E-2</v>
      </c>
      <c r="CP63" s="962"/>
      <c r="CQ63" s="962"/>
      <c r="CR63" s="1108" t="str">
        <f>$E59</f>
        <v>Innehav utan bestämmande inflytande</v>
      </c>
      <c r="CS63" s="211">
        <f>(CS30)/(CS28+CS30)</f>
        <v>1.3407821229050281E-2</v>
      </c>
      <c r="CT63" s="211">
        <f>(CT30)/(CT28+CT30)</f>
        <v>2.0000000000000004E-2</v>
      </c>
      <c r="CU63" s="211">
        <f>(CU30)/(CU28+CU30)</f>
        <v>1.6656658475776274E-2</v>
      </c>
      <c r="CV63" s="962"/>
    </row>
    <row r="64" spans="5:100" s="398" customFormat="1" x14ac:dyDescent="0.15">
      <c r="E64" s="835" t="s">
        <v>360</v>
      </c>
      <c r="F64" s="836"/>
      <c r="G64" s="836"/>
      <c r="H64" s="1059"/>
      <c r="I64" s="1059"/>
      <c r="J64" s="1059"/>
      <c r="K64" s="1059"/>
      <c r="L64" s="1055">
        <f>SUM(L62:L63)</f>
        <v>1</v>
      </c>
      <c r="M64" s="1055">
        <f t="shared" ref="M64:Q64" si="252">SUM(M62:M63)</f>
        <v>1</v>
      </c>
      <c r="N64" s="1055">
        <f t="shared" si="252"/>
        <v>1</v>
      </c>
      <c r="O64" s="1055">
        <f t="shared" si="252"/>
        <v>1</v>
      </c>
      <c r="P64" s="1055">
        <f t="shared" si="252"/>
        <v>0.99999999999999989</v>
      </c>
      <c r="Q64" s="1055">
        <f t="shared" si="252"/>
        <v>1</v>
      </c>
      <c r="R64" s="1055"/>
      <c r="S64" s="837"/>
      <c r="W64" s="396"/>
      <c r="X64" s="396"/>
      <c r="Y64" s="396"/>
      <c r="Z64" s="796"/>
      <c r="AC64" s="396"/>
      <c r="AD64" s="396"/>
      <c r="AE64" s="396"/>
      <c r="AF64" s="396"/>
      <c r="AG64" s="396"/>
      <c r="AH64" s="835" t="str">
        <f>$E60</f>
        <v>Total</v>
      </c>
      <c r="AI64" s="838"/>
      <c r="AJ64" s="838"/>
      <c r="AK64" s="1052">
        <f t="shared" ref="AK64:AR64" si="253">SUM(AK62:AK63)</f>
        <v>1</v>
      </c>
      <c r="AL64" s="1052">
        <f t="shared" si="253"/>
        <v>1</v>
      </c>
      <c r="AM64" s="1052">
        <f t="shared" si="253"/>
        <v>1</v>
      </c>
      <c r="AN64" s="1052">
        <f t="shared" si="253"/>
        <v>1</v>
      </c>
      <c r="AO64" s="1052">
        <f t="shared" si="253"/>
        <v>1</v>
      </c>
      <c r="AP64" s="1052">
        <f t="shared" si="253"/>
        <v>1</v>
      </c>
      <c r="AQ64" s="1052">
        <f t="shared" si="253"/>
        <v>0.99999999999999989</v>
      </c>
      <c r="AR64" s="1052">
        <f t="shared" si="253"/>
        <v>1</v>
      </c>
      <c r="AS64" s="1052">
        <f t="shared" ref="AS64:AT64" si="254">SUM(AS62:AS63)</f>
        <v>1</v>
      </c>
      <c r="AT64" s="1052">
        <f t="shared" si="254"/>
        <v>0.99999999999999989</v>
      </c>
      <c r="AW64" s="835" t="str">
        <f>$E60</f>
        <v>Total</v>
      </c>
      <c r="AX64" s="1109"/>
      <c r="AY64" s="1052">
        <f>SUM(AY62:AY63)</f>
        <v>1</v>
      </c>
      <c r="AZ64" s="1052">
        <f t="shared" ref="AZ64:BF64" si="255">SUM(AZ62:AZ63)</f>
        <v>1</v>
      </c>
      <c r="BA64" s="1052">
        <f t="shared" si="255"/>
        <v>1</v>
      </c>
      <c r="BB64" s="1052">
        <f t="shared" si="255"/>
        <v>1</v>
      </c>
      <c r="BC64" s="1052">
        <f t="shared" si="255"/>
        <v>1</v>
      </c>
      <c r="BD64" s="1052">
        <f t="shared" si="255"/>
        <v>1</v>
      </c>
      <c r="BE64" s="1052">
        <f t="shared" si="255"/>
        <v>1</v>
      </c>
      <c r="BF64" s="1052">
        <f t="shared" si="255"/>
        <v>1</v>
      </c>
      <c r="BG64" s="1052">
        <f t="shared" ref="BG64:BH64" si="256">SUM(BG62:BG63)</f>
        <v>1</v>
      </c>
      <c r="BH64" s="1052">
        <f t="shared" si="256"/>
        <v>1</v>
      </c>
      <c r="BI64" s="962"/>
      <c r="BJ64" s="962"/>
      <c r="BK64" s="962"/>
      <c r="BL64" s="962"/>
      <c r="BM64" s="962"/>
      <c r="BN64" s="962"/>
      <c r="BO64" s="962"/>
      <c r="BP64" s="962"/>
      <c r="BQ64" s="962"/>
      <c r="BR64" s="962"/>
      <c r="BS64" s="962"/>
      <c r="BT64" s="962"/>
      <c r="BU64" s="962"/>
      <c r="BV64" s="962"/>
      <c r="BW64" s="962"/>
      <c r="BX64" s="962"/>
      <c r="BY64" s="1110" t="str">
        <f>$E60</f>
        <v>Total</v>
      </c>
      <c r="BZ64" s="1105">
        <f>SUM(BZ62:BZ63)</f>
        <v>0.99999999999999989</v>
      </c>
      <c r="CA64" s="1105">
        <f>SUM(CA62:CA63)</f>
        <v>1</v>
      </c>
      <c r="CB64" s="1105">
        <f>SUM(CB62:CB63)</f>
        <v>1</v>
      </c>
      <c r="CC64" s="962"/>
      <c r="CD64" s="962"/>
      <c r="CE64" s="962"/>
      <c r="CF64" s="1110" t="str">
        <f>$E60</f>
        <v>Total</v>
      </c>
      <c r="CG64" s="1105">
        <f>SUM(CG62:CG63)</f>
        <v>0.99999999999999989</v>
      </c>
      <c r="CH64" s="1105">
        <f>SUM(CH62:CH63)</f>
        <v>1</v>
      </c>
      <c r="CI64" s="1105">
        <f>SUM(CI62:CI63)</f>
        <v>1</v>
      </c>
      <c r="CJ64" s="962"/>
      <c r="CK64" s="962"/>
      <c r="CL64" s="1110" t="str">
        <f>$E60</f>
        <v>Total</v>
      </c>
      <c r="CM64" s="1105">
        <f>SUM(CM62:CM63)</f>
        <v>1</v>
      </c>
      <c r="CN64" s="1105">
        <f>SUM(CN62:CN63)</f>
        <v>1</v>
      </c>
      <c r="CO64" s="1105">
        <f>SUM(CO62:CO63)</f>
        <v>0.99999999999999989</v>
      </c>
      <c r="CP64" s="962"/>
      <c r="CQ64" s="962"/>
      <c r="CR64" s="1110" t="str">
        <f>$E60</f>
        <v>Total</v>
      </c>
      <c r="CS64" s="1105">
        <f>SUM(CS62:CS63)</f>
        <v>1</v>
      </c>
      <c r="CT64" s="1105">
        <f t="shared" ref="CT64:CU64" si="257">SUM(CT62:CT63)</f>
        <v>1</v>
      </c>
      <c r="CU64" s="1105">
        <f t="shared" si="257"/>
        <v>0.99999999999999989</v>
      </c>
      <c r="CV64" s="962"/>
    </row>
    <row r="65" spans="5:100" s="398" customFormat="1" x14ac:dyDescent="0.15">
      <c r="W65" s="396"/>
      <c r="X65" s="396"/>
      <c r="Y65" s="396"/>
      <c r="Z65" s="796"/>
      <c r="AC65" s="396"/>
      <c r="AD65" s="396"/>
      <c r="AE65" s="396"/>
      <c r="AF65" s="396"/>
      <c r="AG65" s="396"/>
      <c r="AK65" s="1050"/>
      <c r="AL65" s="1050"/>
      <c r="AM65" s="1050"/>
      <c r="AN65" s="1050"/>
      <c r="AO65" s="1050"/>
      <c r="AP65" s="1050"/>
      <c r="AQ65" s="1050"/>
      <c r="AR65" s="1050"/>
      <c r="AS65" s="1050"/>
      <c r="AT65" s="1050"/>
      <c r="AX65" s="962"/>
      <c r="AY65" s="962"/>
      <c r="AZ65" s="962"/>
      <c r="BA65" s="962"/>
      <c r="BB65" s="962"/>
      <c r="BC65" s="962"/>
      <c r="BD65" s="962"/>
      <c r="BE65" s="962"/>
      <c r="BF65" s="962"/>
      <c r="BG65" s="962"/>
      <c r="BH65" s="962"/>
      <c r="BI65" s="962"/>
      <c r="BJ65" s="962"/>
      <c r="BK65" s="962"/>
      <c r="BL65" s="962"/>
      <c r="BM65" s="962"/>
      <c r="BN65" s="962"/>
      <c r="BO65" s="962"/>
      <c r="BP65" s="962"/>
      <c r="BQ65" s="962"/>
      <c r="BR65" s="962"/>
      <c r="BS65" s="962"/>
      <c r="BT65" s="962"/>
      <c r="BU65" s="962"/>
      <c r="BV65" s="962"/>
      <c r="BW65" s="962"/>
      <c r="BX65" s="962"/>
      <c r="BY65" s="962"/>
      <c r="BZ65" s="962"/>
      <c r="CA65" s="962"/>
      <c r="CB65" s="962"/>
      <c r="CC65" s="962"/>
      <c r="CD65" s="962"/>
      <c r="CE65" s="962"/>
      <c r="CF65" s="962"/>
      <c r="CG65" s="962"/>
      <c r="CH65" s="962"/>
      <c r="CI65" s="962"/>
      <c r="CJ65" s="962"/>
      <c r="CK65" s="962"/>
      <c r="CL65" s="962"/>
      <c r="CM65" s="962"/>
      <c r="CN65" s="962"/>
      <c r="CO65" s="962"/>
      <c r="CP65" s="962"/>
      <c r="CQ65" s="962"/>
      <c r="CR65" s="962"/>
      <c r="CS65" s="962"/>
      <c r="CT65" s="962"/>
      <c r="CU65" s="962"/>
      <c r="CV65" s="962"/>
    </row>
    <row r="66" spans="5:100" s="398" customFormat="1" x14ac:dyDescent="0.15">
      <c r="E66" s="824" t="s">
        <v>188</v>
      </c>
      <c r="F66" s="839"/>
      <c r="G66" s="839"/>
      <c r="H66" s="840"/>
      <c r="I66" s="840"/>
      <c r="J66" s="840"/>
      <c r="K66" s="840"/>
      <c r="L66" s="225">
        <f t="shared" ref="L66:S68" si="258">L62-L58</f>
        <v>-1.1631692678325534E-2</v>
      </c>
      <c r="M66" s="225">
        <f t="shared" si="258"/>
        <v>-2.4485419556448451E-2</v>
      </c>
      <c r="N66" s="225">
        <f t="shared" si="258"/>
        <v>-2.2885435374076502E-2</v>
      </c>
      <c r="O66" s="225">
        <f t="shared" si="258"/>
        <v>-3.3238849165239337E-2</v>
      </c>
      <c r="P66" s="225">
        <f t="shared" si="258"/>
        <v>-1.5296534718881927E-2</v>
      </c>
      <c r="Q66" s="225">
        <f t="shared" si="258"/>
        <v>-1.2775461751815764E-2</v>
      </c>
      <c r="R66" s="1866">
        <f t="shared" si="258"/>
        <v>0</v>
      </c>
      <c r="S66" s="1866">
        <f t="shared" si="258"/>
        <v>0</v>
      </c>
      <c r="W66" s="396"/>
      <c r="X66" s="396"/>
      <c r="Y66" s="396"/>
      <c r="Z66" s="796"/>
      <c r="AC66" s="396"/>
      <c r="AD66" s="396"/>
      <c r="AE66" s="396"/>
      <c r="AF66" s="396"/>
      <c r="AG66" s="396"/>
      <c r="AH66" s="828" t="str">
        <f>$E62</f>
        <v>MBs aktieägare</v>
      </c>
      <c r="AI66" s="831"/>
      <c r="AJ66" s="831"/>
      <c r="AK66" s="1051">
        <f t="shared" ref="AK66:AT66" si="259">(AK29)/(AK29+AK31)</f>
        <v>0.73283373112422767</v>
      </c>
      <c r="AL66" s="1051">
        <f t="shared" si="259"/>
        <v>0.91615480652060288</v>
      </c>
      <c r="AM66" s="1051">
        <f t="shared" si="259"/>
        <v>0.5908816817128616</v>
      </c>
      <c r="AN66" s="1051">
        <f t="shared" si="259"/>
        <v>1.0007864703505593</v>
      </c>
      <c r="AO66" s="1051">
        <f t="shared" si="259"/>
        <v>0.95323007543962401</v>
      </c>
      <c r="AP66" s="1051">
        <f t="shared" si="259"/>
        <v>1.2704756408406592</v>
      </c>
      <c r="AQ66" s="1051">
        <f t="shared" si="259"/>
        <v>1.2257723261512954</v>
      </c>
      <c r="AR66" s="1051">
        <f t="shared" si="259"/>
        <v>1.0418496061462035</v>
      </c>
      <c r="AS66" s="1051">
        <f t="shared" si="259"/>
        <v>0.91138491184132198</v>
      </c>
      <c r="AT66" s="1051">
        <f t="shared" si="259"/>
        <v>0.96762373440023441</v>
      </c>
      <c r="AW66" s="828" t="str">
        <f>$E62</f>
        <v>MBs aktieägare</v>
      </c>
      <c r="AX66" s="215"/>
      <c r="AY66" s="1051">
        <f t="shared" ref="AY66:BH66" si="260">(AY29)/(AY29+AY31)</f>
        <v>0.99875848916768306</v>
      </c>
      <c r="AZ66" s="1051">
        <f t="shared" si="260"/>
        <v>0.95231993526522973</v>
      </c>
      <c r="BA66" s="1051">
        <f t="shared" si="260"/>
        <v>0.95188118063740601</v>
      </c>
      <c r="BB66" s="1051">
        <f t="shared" si="260"/>
        <v>0.94066020531513295</v>
      </c>
      <c r="BC66" s="1051">
        <f t="shared" si="260"/>
        <v>0.99963040499692435</v>
      </c>
      <c r="BD66" s="1051">
        <f t="shared" si="260"/>
        <v>0.97722800212862471</v>
      </c>
      <c r="BE66" s="1051">
        <f t="shared" si="260"/>
        <v>0.96598563160379991</v>
      </c>
      <c r="BF66" s="1051">
        <f t="shared" si="260"/>
        <v>0.96160433551459601</v>
      </c>
      <c r="BG66" s="1051">
        <f t="shared" si="260"/>
        <v>1.0001608328159268</v>
      </c>
      <c r="BH66" s="1051">
        <f t="shared" si="260"/>
        <v>0.97948943644016628</v>
      </c>
      <c r="BI66" s="962"/>
      <c r="BJ66" s="962"/>
      <c r="BK66" s="962"/>
      <c r="BL66" s="962"/>
      <c r="BM66" s="962"/>
      <c r="BN66" s="962"/>
      <c r="BO66" s="962"/>
      <c r="BP66" s="962"/>
      <c r="BQ66" s="962"/>
      <c r="BR66" s="962"/>
      <c r="BS66" s="962"/>
      <c r="BT66" s="962"/>
      <c r="BU66" s="962"/>
      <c r="BV66" s="962"/>
      <c r="BW66" s="962"/>
      <c r="BX66" s="962"/>
      <c r="BY66" s="1107" t="str">
        <f>$E62</f>
        <v>MBs aktieägare</v>
      </c>
      <c r="BZ66" s="211">
        <f>(BZ29)/(BZ29+BZ31)</f>
        <v>0.96762373440023441</v>
      </c>
      <c r="CA66" s="211">
        <f>(CA29)/(CA29+CA31)</f>
        <v>1.2704756408406592</v>
      </c>
      <c r="CB66" s="211">
        <f>(CB29)/(CB29+CB31)</f>
        <v>1.0418496061462035</v>
      </c>
      <c r="CC66" s="962"/>
      <c r="CD66" s="962"/>
      <c r="CE66" s="962"/>
      <c r="CF66" s="1107" t="str">
        <f>$E62</f>
        <v>MBs aktieägare</v>
      </c>
      <c r="CG66" s="211">
        <f>(CG29)/(CG29+CG31)</f>
        <v>0.96762373440023441</v>
      </c>
      <c r="CH66" s="211">
        <f>(CH29)/(CH29+CH31)</f>
        <v>1.2704756408406592</v>
      </c>
      <c r="CI66" s="211">
        <f>(CI29)/(CI29+CI31)</f>
        <v>1.0418496061462035</v>
      </c>
      <c r="CJ66" s="962"/>
      <c r="CK66" s="962"/>
      <c r="CL66" s="1107" t="str">
        <f>$E62</f>
        <v>MBs aktieägare</v>
      </c>
      <c r="CM66" s="211">
        <f>(CM29)/(CM29+CM31)</f>
        <v>0.97381671701913397</v>
      </c>
      <c r="CN66" s="211">
        <f>(CN29)/(CN29+CN31)</f>
        <v>0.97948943644016628</v>
      </c>
      <c r="CO66" s="211">
        <f>(CO29)/(CO29+CO31)</f>
        <v>0.96762373440023441</v>
      </c>
      <c r="CP66" s="962"/>
      <c r="CQ66" s="962"/>
      <c r="CR66" s="1107" t="str">
        <f>$E62</f>
        <v>MBs aktieägare</v>
      </c>
      <c r="CS66" s="211">
        <f>(CS29)/(CS29+CS31)</f>
        <v>0.97381671701913397</v>
      </c>
      <c r="CT66" s="211">
        <f>(CT29)/(CT29+CT31)</f>
        <v>0.97948943644016628</v>
      </c>
      <c r="CU66" s="211">
        <f>(CU29)/(CU29+CU31)</f>
        <v>0.96762373440023441</v>
      </c>
      <c r="CV66" s="962"/>
    </row>
    <row r="67" spans="5:100" s="398" customFormat="1" x14ac:dyDescent="0.15">
      <c r="E67" s="824" t="s">
        <v>188</v>
      </c>
      <c r="F67" s="839"/>
      <c r="G67" s="839"/>
      <c r="H67" s="840"/>
      <c r="I67" s="840"/>
      <c r="J67" s="840"/>
      <c r="K67" s="840"/>
      <c r="L67" s="225">
        <f t="shared" si="258"/>
        <v>1.1631692678325499E-2</v>
      </c>
      <c r="M67" s="225">
        <f t="shared" si="258"/>
        <v>2.4485419556448451E-2</v>
      </c>
      <c r="N67" s="225">
        <f t="shared" si="258"/>
        <v>2.2885435374076491E-2</v>
      </c>
      <c r="O67" s="225">
        <f t="shared" si="258"/>
        <v>3.3238849165239392E-2</v>
      </c>
      <c r="P67" s="225">
        <f t="shared" si="258"/>
        <v>1.5296534718881757E-2</v>
      </c>
      <c r="Q67" s="225">
        <f t="shared" si="258"/>
        <v>1.2775461751815773E-2</v>
      </c>
      <c r="R67" s="1866">
        <f t="shared" si="258"/>
        <v>0</v>
      </c>
      <c r="S67" s="1866">
        <f t="shared" si="258"/>
        <v>0</v>
      </c>
      <c r="W67" s="396"/>
      <c r="X67" s="396"/>
      <c r="Y67" s="396"/>
      <c r="Z67" s="796"/>
      <c r="AC67" s="396"/>
      <c r="AD67" s="396"/>
      <c r="AE67" s="396"/>
      <c r="AF67" s="396"/>
      <c r="AG67" s="396"/>
      <c r="AH67" s="832" t="str">
        <f>$E63</f>
        <v>Innehav utan bestämmande inflytande</v>
      </c>
      <c r="AI67" s="831"/>
      <c r="AJ67" s="831"/>
      <c r="AK67" s="1051">
        <f t="shared" ref="AK67:AT67" si="261">(AK31)/(AK31+AK29)</f>
        <v>0.26716626887577238</v>
      </c>
      <c r="AL67" s="1051">
        <f t="shared" si="261"/>
        <v>8.3845193479397132E-2</v>
      </c>
      <c r="AM67" s="1051">
        <f t="shared" si="261"/>
        <v>0.40911831828713846</v>
      </c>
      <c r="AN67" s="1051">
        <f t="shared" si="261"/>
        <v>-7.8647035055926949E-4</v>
      </c>
      <c r="AO67" s="1051">
        <f t="shared" si="261"/>
        <v>4.676992456037584E-2</v>
      </c>
      <c r="AP67" s="1051">
        <f t="shared" si="261"/>
        <v>-0.27047564084065917</v>
      </c>
      <c r="AQ67" s="1051">
        <f t="shared" si="261"/>
        <v>-0.22577232615129539</v>
      </c>
      <c r="AR67" s="1051">
        <f t="shared" si="261"/>
        <v>-4.1849606146203464E-2</v>
      </c>
      <c r="AS67" s="1051">
        <f t="shared" si="261"/>
        <v>8.8615088158678024E-2</v>
      </c>
      <c r="AT67" s="1051">
        <f t="shared" si="261"/>
        <v>3.2376265599765627E-2</v>
      </c>
      <c r="AW67" s="832" t="str">
        <f>$E63</f>
        <v>Innehav utan bestämmande inflytande</v>
      </c>
      <c r="AX67" s="215"/>
      <c r="AY67" s="1051">
        <f t="shared" ref="AY67:BH67" si="262">(AY31)/(AY31+AY29)</f>
        <v>1.2415108323169642E-3</v>
      </c>
      <c r="AZ67" s="1051">
        <f t="shared" si="262"/>
        <v>4.7680064734770246E-2</v>
      </c>
      <c r="BA67" s="1051">
        <f t="shared" si="262"/>
        <v>4.8118819362593983E-2</v>
      </c>
      <c r="BB67" s="1051">
        <f t="shared" si="262"/>
        <v>5.9339794684867074E-2</v>
      </c>
      <c r="BC67" s="1051">
        <f t="shared" si="262"/>
        <v>3.6959500307556439E-4</v>
      </c>
      <c r="BD67" s="1051">
        <f t="shared" si="262"/>
        <v>2.2771997871375328E-2</v>
      </c>
      <c r="BE67" s="1051">
        <f t="shared" si="262"/>
        <v>3.4014368396200118E-2</v>
      </c>
      <c r="BF67" s="1051">
        <f t="shared" si="262"/>
        <v>3.8395664485404012E-2</v>
      </c>
      <c r="BG67" s="1051">
        <f t="shared" si="262"/>
        <v>-1.6083281592683182E-4</v>
      </c>
      <c r="BH67" s="1051">
        <f t="shared" si="262"/>
        <v>2.0510563559833724E-2</v>
      </c>
      <c r="BI67" s="962"/>
      <c r="BJ67" s="962"/>
      <c r="BK67" s="962"/>
      <c r="BL67" s="962"/>
      <c r="BM67" s="962"/>
      <c r="BN67" s="962"/>
      <c r="BO67" s="962"/>
      <c r="BP67" s="962"/>
      <c r="BQ67" s="962"/>
      <c r="BR67" s="962"/>
      <c r="BS67" s="962"/>
      <c r="BT67" s="962"/>
      <c r="BU67" s="962"/>
      <c r="BV67" s="962"/>
      <c r="BW67" s="962"/>
      <c r="BX67" s="962"/>
      <c r="BY67" s="1108" t="str">
        <f>$E63</f>
        <v>Innehav utan bestämmande inflytande</v>
      </c>
      <c r="BZ67" s="211">
        <f>(BZ31)/(BZ31+BZ29)</f>
        <v>3.2376265599765627E-2</v>
      </c>
      <c r="CA67" s="211">
        <f>(CA31)/(CA31+CA29)</f>
        <v>-0.27047564084065917</v>
      </c>
      <c r="CB67" s="211">
        <f>(CB31)/(CB31+CB29)</f>
        <v>-4.1849606146203464E-2</v>
      </c>
      <c r="CC67" s="962"/>
      <c r="CD67" s="962"/>
      <c r="CE67" s="962"/>
      <c r="CF67" s="1108" t="str">
        <f>$E63</f>
        <v>Innehav utan bestämmande inflytande</v>
      </c>
      <c r="CG67" s="211">
        <f>(CG31)/(CG31+CG29)</f>
        <v>3.2376265599765627E-2</v>
      </c>
      <c r="CH67" s="211">
        <f>(CH31)/(CH31+CH29)</f>
        <v>-0.27047564084065917</v>
      </c>
      <c r="CI67" s="211">
        <f>(CI31)/(CI31+CI29)</f>
        <v>-4.1849606146203464E-2</v>
      </c>
      <c r="CJ67" s="962"/>
      <c r="CK67" s="962"/>
      <c r="CL67" s="1108" t="str">
        <f>$E63</f>
        <v>Innehav utan bestämmande inflytande</v>
      </c>
      <c r="CM67" s="211">
        <f>(CM31)/(CM31+CM29)</f>
        <v>2.6183282980866054E-2</v>
      </c>
      <c r="CN67" s="211">
        <f>(CN31)/(CN31+CN29)</f>
        <v>2.0510563559833724E-2</v>
      </c>
      <c r="CO67" s="211">
        <f>(CO31)/(CO31+CO29)</f>
        <v>3.2376265599765627E-2</v>
      </c>
      <c r="CP67" s="962"/>
      <c r="CQ67" s="962"/>
      <c r="CR67" s="1108" t="str">
        <f>$E63</f>
        <v>Innehav utan bestämmande inflytande</v>
      </c>
      <c r="CS67" s="211">
        <f>(CS31)/(CS31+CS29)</f>
        <v>2.6183282980866054E-2</v>
      </c>
      <c r="CT67" s="211">
        <f>(CT31)/(CT31+CT29)</f>
        <v>2.0510563559833724E-2</v>
      </c>
      <c r="CU67" s="211">
        <f>(CU31)/(CU31+CU29)</f>
        <v>3.2376265599765627E-2</v>
      </c>
      <c r="CV67" s="962"/>
    </row>
    <row r="68" spans="5:100" s="398" customFormat="1" x14ac:dyDescent="0.15">
      <c r="E68" s="824" t="s">
        <v>188</v>
      </c>
      <c r="F68" s="839"/>
      <c r="G68" s="839"/>
      <c r="H68" s="840"/>
      <c r="I68" s="840"/>
      <c r="J68" s="840"/>
      <c r="K68" s="840"/>
      <c r="L68" s="225">
        <f t="shared" si="258"/>
        <v>0</v>
      </c>
      <c r="M68" s="225">
        <f t="shared" si="258"/>
        <v>0</v>
      </c>
      <c r="N68" s="225">
        <f t="shared" si="258"/>
        <v>0</v>
      </c>
      <c r="O68" s="225">
        <f t="shared" si="258"/>
        <v>0</v>
      </c>
      <c r="P68" s="225">
        <f t="shared" si="258"/>
        <v>0</v>
      </c>
      <c r="Q68" s="225">
        <f t="shared" si="258"/>
        <v>0</v>
      </c>
      <c r="R68" s="1866">
        <f t="shared" si="258"/>
        <v>0</v>
      </c>
      <c r="S68" s="1866">
        <f t="shared" si="258"/>
        <v>0</v>
      </c>
      <c r="W68" s="396"/>
      <c r="X68" s="396"/>
      <c r="Y68" s="396"/>
      <c r="Z68" s="796"/>
      <c r="AC68" s="396"/>
      <c r="AD68" s="396"/>
      <c r="AE68" s="396"/>
      <c r="AF68" s="396"/>
      <c r="AG68" s="396"/>
      <c r="AH68" s="835" t="str">
        <f>$E64</f>
        <v>Total</v>
      </c>
      <c r="AI68" s="838"/>
      <c r="AJ68" s="838"/>
      <c r="AK68" s="1052">
        <f>SUM(AK66:AK67)</f>
        <v>1</v>
      </c>
      <c r="AL68" s="1052">
        <f t="shared" ref="AL68:AR68" si="263">SUM(AL66:AL67)</f>
        <v>1</v>
      </c>
      <c r="AM68" s="1052">
        <f t="shared" si="263"/>
        <v>1</v>
      </c>
      <c r="AN68" s="1052">
        <f t="shared" si="263"/>
        <v>1</v>
      </c>
      <c r="AO68" s="1052">
        <f t="shared" si="263"/>
        <v>0.99999999999999989</v>
      </c>
      <c r="AP68" s="1052">
        <f t="shared" si="263"/>
        <v>1</v>
      </c>
      <c r="AQ68" s="1052">
        <f t="shared" si="263"/>
        <v>1</v>
      </c>
      <c r="AR68" s="1052">
        <f t="shared" si="263"/>
        <v>1</v>
      </c>
      <c r="AS68" s="1052">
        <f t="shared" ref="AS68:AT68" si="264">SUM(AS66:AS67)</f>
        <v>1</v>
      </c>
      <c r="AT68" s="1052">
        <f t="shared" si="264"/>
        <v>1</v>
      </c>
      <c r="AW68" s="835" t="str">
        <f>$E64</f>
        <v>Total</v>
      </c>
      <c r="AX68" s="1109"/>
      <c r="AY68" s="1052">
        <f t="shared" ref="AY68:BF68" si="265">SUM(AY66:AY67)</f>
        <v>1</v>
      </c>
      <c r="AZ68" s="1052">
        <f t="shared" si="265"/>
        <v>1</v>
      </c>
      <c r="BA68" s="1052">
        <f t="shared" si="265"/>
        <v>1</v>
      </c>
      <c r="BB68" s="1052">
        <f t="shared" si="265"/>
        <v>1</v>
      </c>
      <c r="BC68" s="1052">
        <f t="shared" si="265"/>
        <v>0.99999999999999989</v>
      </c>
      <c r="BD68" s="1052">
        <f t="shared" si="265"/>
        <v>1</v>
      </c>
      <c r="BE68" s="1052">
        <f t="shared" si="265"/>
        <v>1</v>
      </c>
      <c r="BF68" s="1052">
        <f t="shared" si="265"/>
        <v>1</v>
      </c>
      <c r="BG68" s="1052">
        <f t="shared" ref="BG68:BH68" si="266">SUM(BG66:BG67)</f>
        <v>1</v>
      </c>
      <c r="BH68" s="1052">
        <f t="shared" si="266"/>
        <v>1</v>
      </c>
      <c r="BI68" s="962"/>
      <c r="BJ68" s="962"/>
      <c r="BK68" s="962"/>
      <c r="BL68" s="962"/>
      <c r="BM68" s="962"/>
      <c r="BN68" s="962"/>
      <c r="BO68" s="962"/>
      <c r="BP68" s="962"/>
      <c r="BQ68" s="962"/>
      <c r="BR68" s="962"/>
      <c r="BS68" s="962"/>
      <c r="BT68" s="962"/>
      <c r="BU68" s="962"/>
      <c r="BV68" s="962"/>
      <c r="BW68" s="962"/>
      <c r="BX68" s="962"/>
      <c r="BY68" s="1110" t="str">
        <f>$E64</f>
        <v>Total</v>
      </c>
      <c r="BZ68" s="1105">
        <f t="shared" ref="BZ68:CA68" si="267">SUM(BZ66:BZ67)</f>
        <v>1</v>
      </c>
      <c r="CA68" s="1105">
        <f t="shared" si="267"/>
        <v>1</v>
      </c>
      <c r="CB68" s="1105">
        <f t="shared" ref="CB68" si="268">SUM(CB66:CB67)</f>
        <v>1</v>
      </c>
      <c r="CC68" s="962"/>
      <c r="CD68" s="962"/>
      <c r="CE68" s="962"/>
      <c r="CF68" s="1110" t="str">
        <f>$E64</f>
        <v>Total</v>
      </c>
      <c r="CG68" s="1105">
        <f t="shared" ref="CG68:CH68" si="269">SUM(CG66:CG67)</f>
        <v>1</v>
      </c>
      <c r="CH68" s="1105">
        <f t="shared" si="269"/>
        <v>1</v>
      </c>
      <c r="CI68" s="1105">
        <f t="shared" ref="CI68" si="270">SUM(CI66:CI67)</f>
        <v>1</v>
      </c>
      <c r="CJ68" s="962"/>
      <c r="CK68" s="888"/>
      <c r="CL68" s="1110" t="str">
        <f>$E64</f>
        <v>Total</v>
      </c>
      <c r="CM68" s="1105">
        <f t="shared" ref="CM68" si="271">SUM(CM66:CM67)</f>
        <v>1</v>
      </c>
      <c r="CN68" s="1105">
        <f t="shared" ref="CN68:CO68" si="272">SUM(CN66:CN67)</f>
        <v>1</v>
      </c>
      <c r="CO68" s="1105">
        <f t="shared" si="272"/>
        <v>1</v>
      </c>
      <c r="CP68" s="962"/>
      <c r="CQ68" s="962"/>
      <c r="CR68" s="1110" t="str">
        <f>$E64</f>
        <v>Total</v>
      </c>
      <c r="CS68" s="1105">
        <f t="shared" ref="CS68" si="273">SUM(CS66:CS67)</f>
        <v>1</v>
      </c>
      <c r="CT68" s="1105">
        <f t="shared" ref="CT68:CU68" si="274">SUM(CT66:CT67)</f>
        <v>1</v>
      </c>
      <c r="CU68" s="1105">
        <f t="shared" si="274"/>
        <v>1</v>
      </c>
      <c r="CV68" s="962"/>
    </row>
    <row r="69" spans="5:100" s="398" customFormat="1" x14ac:dyDescent="0.15">
      <c r="W69" s="396"/>
      <c r="X69" s="396"/>
      <c r="Y69" s="396"/>
      <c r="Z69" s="796"/>
      <c r="AC69" s="396"/>
      <c r="AD69" s="396"/>
      <c r="AE69" s="396"/>
      <c r="AF69" s="396"/>
      <c r="AG69" s="396"/>
      <c r="CK69" s="396"/>
    </row>
    <row r="70" spans="5:100" s="398" customFormat="1" x14ac:dyDescent="0.15">
      <c r="E70" s="421" t="s">
        <v>491</v>
      </c>
      <c r="W70" s="396"/>
      <c r="X70" s="396"/>
      <c r="Y70" s="396"/>
      <c r="Z70" s="796"/>
      <c r="AC70" s="396"/>
      <c r="AD70" s="396"/>
      <c r="AE70" s="396"/>
      <c r="AF70" s="396"/>
      <c r="AG70" s="396"/>
      <c r="AH70" s="824" t="str">
        <f>$E66</f>
        <v>Check</v>
      </c>
      <c r="AI70" s="839"/>
      <c r="AJ70" s="839"/>
      <c r="AK70" s="225">
        <f t="shared" ref="AK70:AT70" si="275">AK66-AK62</f>
        <v>-0.24533052295001989</v>
      </c>
      <c r="AL70" s="225">
        <f t="shared" si="275"/>
        <v>-5.7606696533744062E-2</v>
      </c>
      <c r="AM70" s="225">
        <f t="shared" si="275"/>
        <v>-0.38668670536748051</v>
      </c>
      <c r="AN70" s="225">
        <f t="shared" si="275"/>
        <v>2.3055157185270625E-2</v>
      </c>
      <c r="AO70" s="225">
        <f t="shared" si="275"/>
        <v>-2.7477796680874023E-2</v>
      </c>
      <c r="AP70" s="225">
        <f t="shared" si="275"/>
        <v>0.29134648592545997</v>
      </c>
      <c r="AQ70" s="225">
        <f t="shared" si="275"/>
        <v>0.24712975185773556</v>
      </c>
      <c r="AR70" s="225">
        <f t="shared" si="275"/>
        <v>6.3002653911321094E-2</v>
      </c>
      <c r="AS70" s="225">
        <f t="shared" si="275"/>
        <v>-6.8578968420694997E-2</v>
      </c>
      <c r="AT70" s="225">
        <f t="shared" si="275"/>
        <v>-1.5719607123989232E-2</v>
      </c>
      <c r="AW70" s="1106" t="str">
        <f>$E66</f>
        <v>Check</v>
      </c>
      <c r="AX70" s="225"/>
      <c r="AY70" s="225">
        <f t="shared" ref="AY70:BF70" si="276">AY66-AY62</f>
        <v>1.8758489167683079E-2</v>
      </c>
      <c r="AZ70" s="225">
        <f t="shared" si="276"/>
        <v>-2.7680064734770249E-2</v>
      </c>
      <c r="BA70" s="225">
        <f t="shared" si="276"/>
        <v>-2.8118819362593972E-2</v>
      </c>
      <c r="BB70" s="225">
        <f t="shared" si="276"/>
        <v>-3.9339794684867035E-2</v>
      </c>
      <c r="BC70" s="225">
        <f t="shared" si="276"/>
        <v>1.9630404996924367E-2</v>
      </c>
      <c r="BD70" s="225">
        <f t="shared" si="276"/>
        <v>-2.7719978713752758E-3</v>
      </c>
      <c r="BE70" s="225">
        <f t="shared" si="276"/>
        <v>-1.4014368396200072E-2</v>
      </c>
      <c r="BF70" s="225">
        <f t="shared" si="276"/>
        <v>-1.8395664485403973E-2</v>
      </c>
      <c r="BG70" s="225">
        <f t="shared" ref="BG70:BH70" si="277">BG66-BG62</f>
        <v>2.0160832815926732E-2</v>
      </c>
      <c r="BH70" s="225">
        <f t="shared" si="277"/>
        <v>-5.1056355983369883E-4</v>
      </c>
      <c r="BI70" s="962"/>
      <c r="BJ70" s="962"/>
      <c r="BK70" s="962"/>
      <c r="BL70" s="962"/>
      <c r="BM70" s="962"/>
      <c r="BN70" s="962"/>
      <c r="BO70" s="962"/>
      <c r="BP70" s="962"/>
      <c r="BQ70" s="962"/>
      <c r="BR70" s="962"/>
      <c r="BS70" s="962"/>
      <c r="BT70" s="962"/>
      <c r="BU70" s="962"/>
      <c r="BV70" s="962"/>
      <c r="BW70" s="962"/>
      <c r="BX70" s="962"/>
      <c r="BY70" s="1106" t="str">
        <f>$E66</f>
        <v>Check</v>
      </c>
      <c r="BZ70" s="225">
        <f t="shared" ref="BZ70:CA70" si="278">BZ66-BZ62</f>
        <v>-1.5719607123989232E-2</v>
      </c>
      <c r="CA70" s="225">
        <f t="shared" si="278"/>
        <v>0.29134648592545997</v>
      </c>
      <c r="CB70" s="225">
        <f t="shared" ref="CB70" si="279">CB66-CB62</f>
        <v>6.3002653911321094E-2</v>
      </c>
      <c r="CC70" s="962"/>
      <c r="CD70" s="962"/>
      <c r="CE70" s="962"/>
      <c r="CF70" s="1106" t="str">
        <f>$E66</f>
        <v>Check</v>
      </c>
      <c r="CG70" s="225">
        <f t="shared" ref="CG70:CH70" si="280">CG66-CG62</f>
        <v>-1.5719607123989232E-2</v>
      </c>
      <c r="CH70" s="225">
        <f t="shared" si="280"/>
        <v>0.29134648592545997</v>
      </c>
      <c r="CI70" s="225">
        <f t="shared" ref="CI70" si="281">CI66-CI62</f>
        <v>6.3002653911321094E-2</v>
      </c>
      <c r="CJ70" s="962"/>
      <c r="CK70" s="888"/>
      <c r="CL70" s="1106" t="str">
        <f>$E66</f>
        <v>Check</v>
      </c>
      <c r="CM70" s="225">
        <f t="shared" ref="CM70" si="282">CM66-CM62</f>
        <v>-1.2775461751815764E-2</v>
      </c>
      <c r="CN70" s="225">
        <f t="shared" ref="CN70:CO70" si="283">CN66-CN62</f>
        <v>-5.1056355983369883E-4</v>
      </c>
      <c r="CO70" s="225">
        <f t="shared" si="283"/>
        <v>-1.5719607123989232E-2</v>
      </c>
      <c r="CP70" s="962"/>
      <c r="CQ70" s="962"/>
      <c r="CR70" s="1106" t="str">
        <f>$E66</f>
        <v>Check</v>
      </c>
      <c r="CS70" s="225">
        <f t="shared" ref="CS70" si="284">CS66-CS62</f>
        <v>-1.2775461751815764E-2</v>
      </c>
      <c r="CT70" s="225">
        <f t="shared" ref="CT70:CU70" si="285">CT66-CT62</f>
        <v>-5.1056355983369883E-4</v>
      </c>
      <c r="CU70" s="225">
        <f t="shared" si="285"/>
        <v>-1.5719607123989232E-2</v>
      </c>
      <c r="CV70" s="962"/>
    </row>
    <row r="71" spans="5:100" s="398" customFormat="1" x14ac:dyDescent="0.15">
      <c r="E71" s="214"/>
      <c r="F71" s="214"/>
      <c r="G71" s="214"/>
      <c r="H71" s="214">
        <f>H$2</f>
        <v>2403</v>
      </c>
      <c r="I71" s="214">
        <f t="shared" ref="I71:S71" si="286">I$2</f>
        <v>2406</v>
      </c>
      <c r="J71" s="214">
        <f t="shared" si="286"/>
        <v>2409</v>
      </c>
      <c r="K71" s="214">
        <f t="shared" si="286"/>
        <v>2412</v>
      </c>
      <c r="L71" s="214">
        <f t="shared" si="286"/>
        <v>2503</v>
      </c>
      <c r="M71" s="214">
        <f t="shared" si="286"/>
        <v>2506</v>
      </c>
      <c r="N71" s="214">
        <f t="shared" si="286"/>
        <v>2509</v>
      </c>
      <c r="O71" s="214">
        <f t="shared" si="286"/>
        <v>2512</v>
      </c>
      <c r="P71" s="214">
        <f t="shared" si="286"/>
        <v>2603</v>
      </c>
      <c r="Q71" s="214">
        <f t="shared" si="286"/>
        <v>2606</v>
      </c>
      <c r="R71" s="214">
        <f t="shared" si="286"/>
        <v>2609</v>
      </c>
      <c r="S71" s="214">
        <f t="shared" si="286"/>
        <v>2612</v>
      </c>
      <c r="W71" s="396"/>
      <c r="X71" s="396"/>
      <c r="Y71" s="396"/>
      <c r="Z71" s="796"/>
      <c r="AC71" s="396"/>
      <c r="AD71" s="396"/>
      <c r="AE71" s="396"/>
      <c r="AF71" s="396"/>
      <c r="AG71" s="396"/>
      <c r="AH71" s="824" t="str">
        <f>$E67</f>
        <v>Check</v>
      </c>
      <c r="AI71" s="839"/>
      <c r="AJ71" s="839"/>
      <c r="AK71" s="225">
        <f t="shared" ref="AK71:AT71" si="287">AK67-AK63</f>
        <v>0.24533052295001992</v>
      </c>
      <c r="AL71" s="225">
        <f t="shared" si="287"/>
        <v>5.7606696533744034E-2</v>
      </c>
      <c r="AM71" s="225">
        <f t="shared" si="287"/>
        <v>0.38668670536748057</v>
      </c>
      <c r="AN71" s="225">
        <f t="shared" si="287"/>
        <v>-2.3055157185270573E-2</v>
      </c>
      <c r="AO71" s="225">
        <f t="shared" si="287"/>
        <v>2.7477796680873832E-2</v>
      </c>
      <c r="AP71" s="225">
        <f t="shared" si="287"/>
        <v>-0.29134648592546003</v>
      </c>
      <c r="AQ71" s="225">
        <f t="shared" si="287"/>
        <v>-0.2471297518577355</v>
      </c>
      <c r="AR71" s="225">
        <f t="shared" si="287"/>
        <v>-6.3002653911321066E-2</v>
      </c>
      <c r="AS71" s="225">
        <f t="shared" si="287"/>
        <v>6.8578968420695025E-2</v>
      </c>
      <c r="AT71" s="225">
        <f t="shared" si="287"/>
        <v>1.5719607123989354E-2</v>
      </c>
      <c r="AW71" s="1106" t="str">
        <f>$E67</f>
        <v>Check</v>
      </c>
      <c r="AX71" s="225"/>
      <c r="AY71" s="225">
        <f t="shared" ref="AY71:BF71" si="288">AY67-AY63</f>
        <v>-1.8758489167683041E-2</v>
      </c>
      <c r="AZ71" s="225">
        <f t="shared" si="288"/>
        <v>2.7680064734770249E-2</v>
      </c>
      <c r="BA71" s="225">
        <f t="shared" si="288"/>
        <v>2.8118819362593982E-2</v>
      </c>
      <c r="BB71" s="225">
        <f t="shared" si="288"/>
        <v>3.9339794684867077E-2</v>
      </c>
      <c r="BC71" s="225">
        <f t="shared" si="288"/>
        <v>-1.9630404996924439E-2</v>
      </c>
      <c r="BD71" s="225">
        <f t="shared" si="288"/>
        <v>2.7719978713753313E-3</v>
      </c>
      <c r="BE71" s="225">
        <f t="shared" si="288"/>
        <v>1.4014368396200121E-2</v>
      </c>
      <c r="BF71" s="225">
        <f t="shared" si="288"/>
        <v>1.8395664485404011E-2</v>
      </c>
      <c r="BG71" s="225">
        <f t="shared" ref="BG71:BH71" si="289">BG67-BG63</f>
        <v>-2.0160832815926837E-2</v>
      </c>
      <c r="BH71" s="225">
        <f t="shared" si="289"/>
        <v>5.1056355983371965E-4</v>
      </c>
      <c r="BI71" s="962"/>
      <c r="BJ71" s="962"/>
      <c r="BK71" s="962"/>
      <c r="BL71" s="962"/>
      <c r="BM71" s="962"/>
      <c r="BN71" s="962"/>
      <c r="BO71" s="962"/>
      <c r="BP71" s="962"/>
      <c r="BQ71" s="962"/>
      <c r="BR71" s="962"/>
      <c r="BS71" s="962"/>
      <c r="BT71" s="962"/>
      <c r="BU71" s="962"/>
      <c r="BV71" s="962"/>
      <c r="BW71" s="962"/>
      <c r="BX71" s="962"/>
      <c r="BY71" s="1106" t="str">
        <f>$E67</f>
        <v>Check</v>
      </c>
      <c r="BZ71" s="225">
        <f t="shared" ref="BZ71:CA71" si="290">BZ67-BZ63</f>
        <v>1.5719607123989354E-2</v>
      </c>
      <c r="CA71" s="225">
        <f t="shared" si="290"/>
        <v>-0.29134648592546003</v>
      </c>
      <c r="CB71" s="225">
        <f t="shared" ref="CB71" si="291">CB67-CB63</f>
        <v>-6.3002653911321066E-2</v>
      </c>
      <c r="CC71" s="962"/>
      <c r="CD71" s="962"/>
      <c r="CE71" s="962"/>
      <c r="CF71" s="1106" t="str">
        <f>$E67</f>
        <v>Check</v>
      </c>
      <c r="CG71" s="225">
        <f t="shared" ref="CG71:CH71" si="292">CG67-CG63</f>
        <v>1.5719607123989354E-2</v>
      </c>
      <c r="CH71" s="225">
        <f t="shared" si="292"/>
        <v>-0.29134648592546003</v>
      </c>
      <c r="CI71" s="225">
        <f t="shared" ref="CI71" si="293">CI67-CI63</f>
        <v>-6.3002653911321066E-2</v>
      </c>
      <c r="CJ71" s="962"/>
      <c r="CK71" s="888"/>
      <c r="CL71" s="1106" t="str">
        <f>$E67</f>
        <v>Check</v>
      </c>
      <c r="CM71" s="225">
        <f t="shared" ref="CM71" si="294">CM67-CM63</f>
        <v>1.2775461751815773E-2</v>
      </c>
      <c r="CN71" s="225">
        <f t="shared" ref="CN71:CO71" si="295">CN67-CN63</f>
        <v>5.1056355983371965E-4</v>
      </c>
      <c r="CO71" s="225">
        <f t="shared" si="295"/>
        <v>1.5719607123989354E-2</v>
      </c>
      <c r="CP71" s="962"/>
      <c r="CQ71" s="962"/>
      <c r="CR71" s="1106" t="str">
        <f>$E67</f>
        <v>Check</v>
      </c>
      <c r="CS71" s="225">
        <f t="shared" ref="CS71" si="296">CS67-CS63</f>
        <v>1.2775461751815773E-2</v>
      </c>
      <c r="CT71" s="225">
        <f t="shared" ref="CT71:CU71" si="297">CT67-CT63</f>
        <v>5.1056355983371965E-4</v>
      </c>
      <c r="CU71" s="225">
        <f t="shared" si="297"/>
        <v>1.5719607123989354E-2</v>
      </c>
      <c r="CV71" s="962"/>
    </row>
    <row r="72" spans="5:100" s="398" customFormat="1" x14ac:dyDescent="0.15">
      <c r="E72" s="841" t="s">
        <v>492</v>
      </c>
      <c r="F72" s="842"/>
      <c r="G72" s="842"/>
      <c r="H72" s="1094">
        <v>154.41079300000001</v>
      </c>
      <c r="I72" s="1094">
        <v>152.745407</v>
      </c>
      <c r="J72" s="1094">
        <v>151.38143199999999</v>
      </c>
      <c r="K72" s="1094">
        <v>149.73826700000001</v>
      </c>
      <c r="L72" s="1061">
        <v>154.41079337179718</v>
      </c>
      <c r="M72" s="1061">
        <v>152.74540651346109</v>
      </c>
      <c r="N72" s="1061">
        <v>151.38143235512493</v>
      </c>
      <c r="O72" s="1061">
        <v>149.73826726678877</v>
      </c>
      <c r="P72" s="1061">
        <v>144.64182600000001</v>
      </c>
      <c r="Q72" s="1060">
        <v>143.14238800000001</v>
      </c>
      <c r="R72" s="1061"/>
      <c r="S72" s="1061"/>
      <c r="W72" s="396"/>
      <c r="X72" s="396"/>
      <c r="Y72" s="396"/>
      <c r="Z72" s="796"/>
      <c r="AC72" s="396"/>
      <c r="AD72" s="396"/>
      <c r="AE72" s="396"/>
      <c r="AF72" s="396"/>
      <c r="AG72" s="396"/>
      <c r="AH72" s="824" t="str">
        <f>$E68</f>
        <v>Check</v>
      </c>
      <c r="AI72" s="839"/>
      <c r="AJ72" s="839"/>
      <c r="AK72" s="225">
        <f t="shared" ref="AK72:AT72" si="298">AK68-AK64</f>
        <v>0</v>
      </c>
      <c r="AL72" s="225">
        <f t="shared" si="298"/>
        <v>0</v>
      </c>
      <c r="AM72" s="225">
        <f t="shared" si="298"/>
        <v>0</v>
      </c>
      <c r="AN72" s="225">
        <f t="shared" si="298"/>
        <v>0</v>
      </c>
      <c r="AO72" s="225">
        <f t="shared" si="298"/>
        <v>0</v>
      </c>
      <c r="AP72" s="225">
        <f t="shared" si="298"/>
        <v>0</v>
      </c>
      <c r="AQ72" s="225">
        <f t="shared" si="298"/>
        <v>0</v>
      </c>
      <c r="AR72" s="225">
        <f t="shared" si="298"/>
        <v>0</v>
      </c>
      <c r="AS72" s="225">
        <f t="shared" si="298"/>
        <v>0</v>
      </c>
      <c r="AT72" s="225">
        <f t="shared" si="298"/>
        <v>0</v>
      </c>
      <c r="AW72" s="1106" t="str">
        <f>$E68</f>
        <v>Check</v>
      </c>
      <c r="AX72" s="225"/>
      <c r="AY72" s="225">
        <f t="shared" ref="AY72:BF72" si="299">AY68-AY64</f>
        <v>0</v>
      </c>
      <c r="AZ72" s="225">
        <f t="shared" si="299"/>
        <v>0</v>
      </c>
      <c r="BA72" s="225">
        <f t="shared" si="299"/>
        <v>0</v>
      </c>
      <c r="BB72" s="225">
        <f t="shared" si="299"/>
        <v>0</v>
      </c>
      <c r="BC72" s="225">
        <f t="shared" si="299"/>
        <v>0</v>
      </c>
      <c r="BD72" s="225">
        <f t="shared" si="299"/>
        <v>0</v>
      </c>
      <c r="BE72" s="225">
        <f t="shared" si="299"/>
        <v>0</v>
      </c>
      <c r="BF72" s="225">
        <f t="shared" si="299"/>
        <v>0</v>
      </c>
      <c r="BG72" s="225">
        <f t="shared" ref="BG72:BH72" si="300">BG68-BG64</f>
        <v>0</v>
      </c>
      <c r="BH72" s="225">
        <f t="shared" si="300"/>
        <v>0</v>
      </c>
      <c r="BI72" s="962"/>
      <c r="BJ72" s="962"/>
      <c r="BK72" s="962"/>
      <c r="BL72" s="962"/>
      <c r="BM72" s="962"/>
      <c r="BN72" s="962"/>
      <c r="BO72" s="962"/>
      <c r="BP72" s="962"/>
      <c r="BQ72" s="962"/>
      <c r="BR72" s="962"/>
      <c r="BS72" s="962"/>
      <c r="BT72" s="962"/>
      <c r="BU72" s="962"/>
      <c r="BV72" s="962"/>
      <c r="BW72" s="962"/>
      <c r="BX72" s="962"/>
      <c r="BY72" s="1106" t="str">
        <f>$E68</f>
        <v>Check</v>
      </c>
      <c r="BZ72" s="225">
        <f t="shared" ref="BZ72:CA72" si="301">BZ68-BZ64</f>
        <v>0</v>
      </c>
      <c r="CA72" s="225">
        <f t="shared" si="301"/>
        <v>0</v>
      </c>
      <c r="CB72" s="225">
        <f t="shared" ref="CB72" si="302">CB68-CB64</f>
        <v>0</v>
      </c>
      <c r="CC72" s="962"/>
      <c r="CD72" s="962"/>
      <c r="CE72" s="962"/>
      <c r="CF72" s="1106" t="str">
        <f>$E68</f>
        <v>Check</v>
      </c>
      <c r="CG72" s="225">
        <f t="shared" ref="CG72:CH72" si="303">CG68-CG64</f>
        <v>0</v>
      </c>
      <c r="CH72" s="225">
        <f t="shared" si="303"/>
        <v>0</v>
      </c>
      <c r="CI72" s="225">
        <f t="shared" ref="CI72" si="304">CI68-CI64</f>
        <v>0</v>
      </c>
      <c r="CJ72" s="962"/>
      <c r="CK72" s="888"/>
      <c r="CL72" s="1106" t="str">
        <f>$E68</f>
        <v>Check</v>
      </c>
      <c r="CM72" s="225">
        <f t="shared" ref="CM72" si="305">CM68-CM64</f>
        <v>0</v>
      </c>
      <c r="CN72" s="225">
        <f t="shared" ref="CN72:CO72" si="306">CN68-CN64</f>
        <v>0</v>
      </c>
      <c r="CO72" s="225">
        <f t="shared" si="306"/>
        <v>0</v>
      </c>
      <c r="CP72" s="962"/>
      <c r="CQ72" s="962"/>
      <c r="CR72" s="1106" t="str">
        <f>$E68</f>
        <v>Check</v>
      </c>
      <c r="CS72" s="225">
        <f t="shared" ref="CS72" si="307">CS68-CS64</f>
        <v>0</v>
      </c>
      <c r="CT72" s="225">
        <f t="shared" ref="CT72:CU72" si="308">CT68-CT64</f>
        <v>0</v>
      </c>
      <c r="CU72" s="225">
        <f t="shared" si="308"/>
        <v>0</v>
      </c>
      <c r="CV72" s="962"/>
    </row>
    <row r="73" spans="5:100" s="398" customFormat="1" x14ac:dyDescent="0.15">
      <c r="E73" s="841" t="s">
        <v>170</v>
      </c>
      <c r="F73" s="842"/>
      <c r="G73" s="842"/>
      <c r="H73" s="1094">
        <v>420.011731</v>
      </c>
      <c r="I73" s="1094">
        <v>419.97212000000002</v>
      </c>
      <c r="J73" s="1094">
        <v>412.576078</v>
      </c>
      <c r="K73" s="1094">
        <v>420.112189</v>
      </c>
      <c r="L73" s="1061">
        <f>420.01173126-7</f>
        <v>413.01173125999998</v>
      </c>
      <c r="M73" s="1061">
        <v>419.97212016950004</v>
      </c>
      <c r="N73" s="1061">
        <f>412.57607814+1</f>
        <v>413.57607813999999</v>
      </c>
      <c r="O73" s="1061">
        <f>420.1121893865-2</f>
        <v>418.11218938650001</v>
      </c>
      <c r="P73" s="1061">
        <v>385.77442000000002</v>
      </c>
      <c r="Q73" s="1060">
        <v>376.19478900000001</v>
      </c>
      <c r="R73" s="1061"/>
      <c r="S73" s="1061"/>
      <c r="W73" s="396"/>
      <c r="X73" s="396"/>
      <c r="Y73" s="396"/>
      <c r="Z73" s="796"/>
      <c r="AC73" s="396"/>
      <c r="AD73" s="396"/>
      <c r="AE73" s="396"/>
      <c r="AF73" s="396"/>
      <c r="AG73" s="396"/>
      <c r="AW73" s="962"/>
      <c r="AX73" s="962"/>
      <c r="AY73" s="962"/>
      <c r="AZ73" s="962"/>
      <c r="BA73" s="962"/>
      <c r="BB73" s="962"/>
      <c r="BC73" s="962"/>
      <c r="BD73" s="962"/>
      <c r="BE73" s="962"/>
      <c r="BF73" s="962"/>
      <c r="BG73" s="962"/>
      <c r="BH73" s="962"/>
      <c r="BI73" s="962"/>
      <c r="BJ73" s="962"/>
      <c r="BK73" s="962"/>
      <c r="BL73" s="962"/>
      <c r="BM73" s="962"/>
      <c r="BN73" s="962"/>
      <c r="BO73" s="962"/>
      <c r="BP73" s="962"/>
      <c r="BQ73" s="962"/>
      <c r="BR73" s="962"/>
      <c r="BS73" s="962"/>
      <c r="BT73" s="962"/>
      <c r="BU73" s="962"/>
      <c r="BV73" s="962"/>
      <c r="BW73" s="962"/>
      <c r="BX73" s="962"/>
      <c r="BY73" s="962"/>
      <c r="BZ73" s="962"/>
      <c r="CA73" s="962"/>
      <c r="CB73" s="962"/>
      <c r="CC73" s="962"/>
      <c r="CD73" s="962"/>
      <c r="CE73" s="962"/>
      <c r="CF73" s="962"/>
      <c r="CG73" s="962"/>
      <c r="CH73" s="962"/>
      <c r="CI73" s="962"/>
      <c r="CJ73" s="962"/>
      <c r="CK73" s="888"/>
      <c r="CL73" s="962"/>
      <c r="CM73" s="962"/>
      <c r="CN73" s="962"/>
      <c r="CO73" s="962"/>
      <c r="CP73" s="962"/>
      <c r="CQ73" s="962"/>
      <c r="CR73" s="962"/>
      <c r="CS73" s="962"/>
      <c r="CT73" s="962"/>
      <c r="CU73" s="962"/>
      <c r="CV73" s="962"/>
    </row>
    <row r="74" spans="5:100" s="398" customFormat="1" x14ac:dyDescent="0.15">
      <c r="E74" s="843" t="s">
        <v>493</v>
      </c>
      <c r="F74" s="844"/>
      <c r="G74" s="844"/>
      <c r="H74" s="1095">
        <v>16.197261999999998</v>
      </c>
      <c r="I74" s="1095">
        <v>13.942867</v>
      </c>
      <c r="J74" s="1095">
        <v>25.952307000000001</v>
      </c>
      <c r="K74" s="1095">
        <v>17.263950999999999</v>
      </c>
      <c r="L74" s="1096">
        <v>16.197262119999998</v>
      </c>
      <c r="M74" s="1096">
        <v>13.94286743</v>
      </c>
      <c r="N74" s="1096">
        <v>25.95230711</v>
      </c>
      <c r="O74" s="1096">
        <v>17.263951460000001</v>
      </c>
      <c r="P74" s="1096">
        <v>45.124966999999998</v>
      </c>
      <c r="Q74" s="1096">
        <v>47.029000000000003</v>
      </c>
      <c r="R74" s="1096"/>
      <c r="S74" s="1096"/>
      <c r="W74" s="396"/>
      <c r="X74" s="396"/>
      <c r="Y74" s="396"/>
      <c r="Z74" s="796"/>
      <c r="AC74" s="396"/>
      <c r="AD74" s="396"/>
      <c r="AE74" s="396"/>
      <c r="AF74" s="396"/>
      <c r="CK74" s="396"/>
    </row>
    <row r="75" spans="5:100" s="398" customFormat="1" x14ac:dyDescent="0.15">
      <c r="E75" s="845" t="s">
        <v>494</v>
      </c>
      <c r="F75" s="846"/>
      <c r="G75" s="846"/>
      <c r="H75" s="929">
        <f>SUM(H72:H74)</f>
        <v>590.61978600000009</v>
      </c>
      <c r="I75" s="929">
        <f>SUM(I72:I74)</f>
        <v>586.660394</v>
      </c>
      <c r="J75" s="929">
        <f>SUM(J72:J74)</f>
        <v>589.90981699999998</v>
      </c>
      <c r="K75" s="929">
        <f>SUM(K72:K74)</f>
        <v>587.11440700000003</v>
      </c>
      <c r="L75" s="1097">
        <f t="shared" ref="L75:O75" si="309">SUM(L72:L74)</f>
        <v>583.61978675179716</v>
      </c>
      <c r="M75" s="1097">
        <f t="shared" si="309"/>
        <v>586.66039411296106</v>
      </c>
      <c r="N75" s="1097">
        <f t="shared" si="309"/>
        <v>590.90981760512489</v>
      </c>
      <c r="O75" s="1097">
        <f t="shared" si="309"/>
        <v>585.11440811328885</v>
      </c>
      <c r="P75" s="1097">
        <f>SUM(P72:P74)</f>
        <v>575.54121299999997</v>
      </c>
      <c r="Q75" s="1097">
        <f>SUM(Q72:Q74)</f>
        <v>566.36617699999999</v>
      </c>
      <c r="R75" s="1097"/>
      <c r="S75" s="1097"/>
      <c r="W75" s="396"/>
      <c r="X75" s="396"/>
      <c r="Y75" s="396"/>
      <c r="Z75" s="796"/>
      <c r="AC75" s="396"/>
      <c r="AD75" s="396"/>
      <c r="AE75" s="396"/>
      <c r="AF75" s="396"/>
      <c r="AG75" s="396"/>
      <c r="AH75" s="396"/>
    </row>
    <row r="76" spans="5:100" s="398" customFormat="1" x14ac:dyDescent="0.15">
      <c r="E76" s="1819" t="s">
        <v>181</v>
      </c>
      <c r="F76" s="1819"/>
      <c r="G76" s="1819"/>
      <c r="H76" s="225">
        <f t="shared" ref="H76:S76" si="310">SUM(H72:H74)-SUM(H14:H15)</f>
        <v>0</v>
      </c>
      <c r="I76" s="225">
        <f t="shared" si="310"/>
        <v>0</v>
      </c>
      <c r="J76" s="225">
        <f t="shared" si="310"/>
        <v>0</v>
      </c>
      <c r="K76" s="225">
        <f t="shared" si="310"/>
        <v>0</v>
      </c>
      <c r="L76" s="225">
        <f t="shared" si="310"/>
        <v>0</v>
      </c>
      <c r="M76" s="225">
        <f t="shared" si="310"/>
        <v>0</v>
      </c>
      <c r="N76" s="225">
        <f t="shared" si="310"/>
        <v>0</v>
      </c>
      <c r="O76" s="225">
        <f t="shared" si="310"/>
        <v>0</v>
      </c>
      <c r="P76" s="225">
        <f t="shared" si="310"/>
        <v>0</v>
      </c>
      <c r="Q76" s="225">
        <f t="shared" si="310"/>
        <v>0</v>
      </c>
      <c r="R76" s="225">
        <f t="shared" si="310"/>
        <v>0</v>
      </c>
      <c r="S76" s="225">
        <f t="shared" si="310"/>
        <v>0</v>
      </c>
      <c r="W76" s="396"/>
      <c r="X76" s="396"/>
      <c r="Y76" s="396"/>
      <c r="Z76" s="796"/>
      <c r="AC76" s="396"/>
      <c r="AD76" s="396"/>
      <c r="AE76" s="396"/>
      <c r="AF76" s="396"/>
    </row>
    <row r="77" spans="5:100" s="398" customFormat="1" x14ac:dyDescent="0.15">
      <c r="Q77" s="848"/>
      <c r="W77" s="396"/>
      <c r="X77" s="396"/>
      <c r="Y77" s="396"/>
      <c r="Z77" s="796"/>
      <c r="AC77" s="396"/>
      <c r="AD77" s="396"/>
      <c r="AE77" s="396"/>
      <c r="AF77" s="396"/>
      <c r="AG77" s="396"/>
      <c r="AH77" s="401" t="s">
        <v>495</v>
      </c>
      <c r="AI77" s="396"/>
      <c r="AJ77" s="396"/>
      <c r="AK77" s="396"/>
      <c r="AL77" s="396"/>
      <c r="AM77" s="396"/>
      <c r="AN77" s="396"/>
      <c r="AO77" s="396"/>
      <c r="AP77" s="396"/>
      <c r="AQ77" s="396"/>
      <c r="AR77" s="396"/>
      <c r="AS77" s="396"/>
      <c r="AT77" s="396"/>
      <c r="AV77" s="396"/>
    </row>
    <row r="78" spans="5:100" s="398" customFormat="1" x14ac:dyDescent="0.15">
      <c r="W78" s="396"/>
      <c r="X78" s="396"/>
      <c r="Y78" s="396"/>
      <c r="Z78" s="796"/>
      <c r="AC78" s="396"/>
      <c r="AD78" s="396"/>
      <c r="AE78" s="396"/>
      <c r="AF78" s="396"/>
      <c r="AG78" s="396"/>
      <c r="AH78" s="1124"/>
      <c r="AI78" s="1124"/>
      <c r="AJ78" s="1124"/>
      <c r="AK78" s="1124">
        <v>2312</v>
      </c>
      <c r="AL78" s="1124">
        <v>2412</v>
      </c>
      <c r="AM78" s="1124">
        <v>2512</v>
      </c>
      <c r="AN78" s="1124" t="s">
        <v>496</v>
      </c>
      <c r="AO78" s="1124" t="s">
        <v>497</v>
      </c>
      <c r="AP78" s="396"/>
      <c r="AQ78" s="396"/>
      <c r="AR78" s="396"/>
      <c r="AS78" s="396"/>
      <c r="AT78" s="396"/>
      <c r="AV78" s="396"/>
      <c r="AW78" s="422"/>
      <c r="AX78" s="422"/>
      <c r="AY78" s="214">
        <f t="shared" ref="AY78:BH78" si="311">AY$44</f>
        <v>2403</v>
      </c>
      <c r="AZ78" s="214">
        <f t="shared" si="311"/>
        <v>2406</v>
      </c>
      <c r="BA78" s="214">
        <f t="shared" si="311"/>
        <v>2409</v>
      </c>
      <c r="BB78" s="214">
        <f t="shared" si="311"/>
        <v>2412</v>
      </c>
      <c r="BC78" s="214">
        <f t="shared" si="311"/>
        <v>2503</v>
      </c>
      <c r="BD78" s="214">
        <f t="shared" si="311"/>
        <v>2506</v>
      </c>
      <c r="BE78" s="214">
        <f t="shared" si="311"/>
        <v>2509</v>
      </c>
      <c r="BF78" s="214">
        <f t="shared" si="311"/>
        <v>2512</v>
      </c>
      <c r="BG78" s="214">
        <f t="shared" si="311"/>
        <v>2603</v>
      </c>
      <c r="BH78" s="214">
        <f t="shared" si="311"/>
        <v>2606</v>
      </c>
    </row>
    <row r="79" spans="5:100" s="398" customFormat="1" x14ac:dyDescent="0.15">
      <c r="W79" s="396"/>
      <c r="X79" s="396"/>
      <c r="Y79" s="396"/>
      <c r="Z79" s="796"/>
      <c r="AC79" s="396"/>
      <c r="AD79" s="396"/>
      <c r="AE79" s="396"/>
      <c r="AF79" s="396"/>
      <c r="AG79" s="820" t="s">
        <v>166</v>
      </c>
      <c r="AH79" s="872" t="str">
        <f>AH93</f>
        <v>IT System</v>
      </c>
      <c r="AI79" s="872" t="s">
        <v>839</v>
      </c>
      <c r="AJ79" s="872"/>
      <c r="AK79" s="1060">
        <v>24.955329153605017</v>
      </c>
      <c r="AL79" s="1060">
        <v>21</v>
      </c>
      <c r="AM79" s="1060">
        <v>21</v>
      </c>
      <c r="AN79" s="211">
        <f>AL79-AK79</f>
        <v>-3.9553291536050175</v>
      </c>
      <c r="AO79" s="211">
        <f>AM79-AL79</f>
        <v>0</v>
      </c>
      <c r="AP79" s="396"/>
      <c r="AQ79" s="396"/>
      <c r="AR79" s="396"/>
      <c r="AS79" s="396"/>
      <c r="AT79" s="396"/>
      <c r="AV79" s="396"/>
      <c r="AW79" s="426" t="s">
        <v>837</v>
      </c>
      <c r="AX79" s="1820"/>
      <c r="AY79" s="1821"/>
      <c r="AZ79" s="1821"/>
      <c r="BA79" s="1821"/>
      <c r="BB79" s="1821"/>
      <c r="BC79" s="1821"/>
      <c r="BD79" s="1821"/>
      <c r="BE79" s="1821"/>
      <c r="BF79" s="1821">
        <v>917.72530055149582</v>
      </c>
      <c r="BG79" s="1821">
        <v>954.31669562863965</v>
      </c>
      <c r="BH79" s="1821">
        <v>985.80781244578327</v>
      </c>
    </row>
    <row r="80" spans="5:100" s="398" customFormat="1" x14ac:dyDescent="0.15">
      <c r="W80" s="396"/>
      <c r="X80" s="396"/>
      <c r="Y80" s="396"/>
      <c r="Z80" s="796"/>
      <c r="AC80" s="396"/>
      <c r="AD80" s="396"/>
      <c r="AE80" s="396"/>
      <c r="AF80" s="396"/>
      <c r="AG80" s="820" t="s">
        <v>166</v>
      </c>
      <c r="AH80" s="872" t="str">
        <f>AH94</f>
        <v>Byggnader och Mark</v>
      </c>
      <c r="AI80" s="872" t="s">
        <v>839</v>
      </c>
      <c r="AJ80" s="872"/>
      <c r="AK80" s="1060">
        <v>569.76831351546491</v>
      </c>
      <c r="AL80" s="1060">
        <v>590.20000000000005</v>
      </c>
      <c r="AM80" s="1060">
        <v>586.9</v>
      </c>
      <c r="AN80" s="211">
        <f t="shared" ref="AN80:AN83" si="312">AL80-AK80</f>
        <v>20.431686484535135</v>
      </c>
      <c r="AO80" s="211">
        <f>AM80-AL80</f>
        <v>-3.3000000000000682</v>
      </c>
      <c r="AP80" s="396"/>
      <c r="AQ80" s="396"/>
      <c r="AR80" s="396"/>
      <c r="AS80" s="396"/>
      <c r="AT80" s="396"/>
      <c r="AV80" s="396"/>
      <c r="AW80" s="1822" t="s">
        <v>838</v>
      </c>
      <c r="AX80" s="1823"/>
      <c r="AY80" s="1824">
        <f t="shared" ref="AY80:BH80" si="313">AY41</f>
        <v>882.15828065815458</v>
      </c>
      <c r="AZ80" s="1824">
        <f t="shared" si="313"/>
        <v>903.09165043876965</v>
      </c>
      <c r="BA80" s="1824">
        <f t="shared" si="313"/>
        <v>916.51620521938503</v>
      </c>
      <c r="BB80" s="1824">
        <f t="shared" si="313"/>
        <v>934.98559300000011</v>
      </c>
      <c r="BC80" s="1824">
        <f t="shared" si="313"/>
        <v>944.48021324820274</v>
      </c>
      <c r="BD80" s="1824">
        <f t="shared" si="313"/>
        <v>947.43960588703908</v>
      </c>
      <c r="BE80" s="1824">
        <f t="shared" si="313"/>
        <v>949.19018239487536</v>
      </c>
      <c r="BF80" s="1824">
        <f t="shared" si="313"/>
        <v>960.98559188671106</v>
      </c>
      <c r="BG80" s="1824">
        <f t="shared" si="313"/>
        <v>954.31669562863976</v>
      </c>
      <c r="BH80" s="1824">
        <f t="shared" si="313"/>
        <v>985.80781244578338</v>
      </c>
    </row>
    <row r="81" spans="2:101" s="398" customFormat="1" x14ac:dyDescent="0.15">
      <c r="W81" s="396"/>
      <c r="X81" s="396"/>
      <c r="Y81" s="396"/>
      <c r="Z81" s="796"/>
      <c r="AC81" s="396"/>
      <c r="AD81" s="396"/>
      <c r="AE81" s="396"/>
      <c r="AF81" s="396"/>
      <c r="AG81" s="820" t="s">
        <v>166</v>
      </c>
      <c r="AH81" s="872" t="str">
        <f>AH95</f>
        <v>Maskiner och inventarier</v>
      </c>
      <c r="AI81" s="872" t="s">
        <v>839</v>
      </c>
      <c r="AJ81" s="872"/>
      <c r="AK81" s="1060">
        <v>854.98044620846963</v>
      </c>
      <c r="AL81" s="1060">
        <v>903.6</v>
      </c>
      <c r="AM81" s="1060">
        <v>904.6</v>
      </c>
      <c r="AN81" s="211">
        <f t="shared" si="312"/>
        <v>48.619553791530393</v>
      </c>
      <c r="AO81" s="211">
        <f>AM81-AL81</f>
        <v>1</v>
      </c>
      <c r="AP81" s="396"/>
      <c r="AQ81" s="396"/>
      <c r="AR81" s="396"/>
      <c r="AS81" s="396"/>
      <c r="AT81" s="396"/>
      <c r="AV81" s="864"/>
      <c r="AW81" s="1106" t="s">
        <v>181</v>
      </c>
      <c r="AX81" s="225"/>
      <c r="AY81" s="225"/>
      <c r="AZ81" s="225"/>
      <c r="BA81" s="225"/>
      <c r="BB81" s="225"/>
      <c r="BC81" s="225"/>
      <c r="BD81" s="225"/>
      <c r="BE81" s="225"/>
      <c r="BF81" s="225">
        <f>BF79-BF80</f>
        <v>-43.260291335215243</v>
      </c>
      <c r="BG81" s="225">
        <f t="shared" ref="BG81:BH81" si="314">BG79-BG80</f>
        <v>0</v>
      </c>
      <c r="BH81" s="225">
        <f t="shared" si="314"/>
        <v>0</v>
      </c>
    </row>
    <row r="82" spans="2:101" s="398" customFormat="1" x14ac:dyDescent="0.15">
      <c r="W82" s="396"/>
      <c r="X82" s="396"/>
      <c r="Y82" s="396"/>
      <c r="Z82" s="796"/>
      <c r="AC82" s="396"/>
      <c r="AD82" s="396"/>
      <c r="AE82" s="396"/>
      <c r="AF82" s="396"/>
      <c r="AG82" s="820" t="s">
        <v>166</v>
      </c>
      <c r="AH82" s="873" t="str">
        <f>AH96</f>
        <v>Pågående</v>
      </c>
      <c r="AI82" s="873" t="s">
        <v>839</v>
      </c>
      <c r="AJ82" s="873"/>
      <c r="AK82" s="1096">
        <v>19.7</v>
      </c>
      <c r="AL82" s="1096">
        <v>17.3</v>
      </c>
      <c r="AM82" s="1096">
        <v>43.6</v>
      </c>
      <c r="AN82" s="224">
        <f t="shared" si="312"/>
        <v>-2.3999999999999986</v>
      </c>
      <c r="AO82" s="224">
        <f>AM82-AL82</f>
        <v>26.3</v>
      </c>
      <c r="AP82" s="396"/>
      <c r="AQ82" s="396"/>
      <c r="AR82" s="396"/>
      <c r="AS82" s="396"/>
      <c r="AT82" s="396"/>
      <c r="AV82" s="396"/>
      <c r="BI82" s="962"/>
    </row>
    <row r="83" spans="2:101" x14ac:dyDescent="0.15">
      <c r="B83" s="398"/>
      <c r="C83" s="398"/>
      <c r="D83" s="398"/>
      <c r="E83" s="398"/>
      <c r="F83" s="398"/>
      <c r="G83" s="398"/>
      <c r="H83" s="398"/>
      <c r="I83" s="398"/>
      <c r="J83" s="398"/>
      <c r="K83" s="398"/>
      <c r="L83" s="398"/>
      <c r="M83" s="398"/>
      <c r="N83" s="398"/>
      <c r="O83" s="398"/>
      <c r="P83" s="398"/>
      <c r="Q83" s="398"/>
      <c r="R83" s="398"/>
      <c r="S83" s="398"/>
      <c r="T83" s="398"/>
      <c r="U83" s="398"/>
      <c r="V83" s="398"/>
      <c r="AA83" s="398"/>
      <c r="AB83" s="398"/>
      <c r="AG83" s="820" t="s">
        <v>166</v>
      </c>
      <c r="AH83" s="416" t="str">
        <f>AH97</f>
        <v>Total</v>
      </c>
      <c r="AI83" s="416" t="s">
        <v>839</v>
      </c>
      <c r="AJ83" s="416"/>
      <c r="AK83" s="929">
        <f>SUM(AK79:AK82)</f>
        <v>1469.4040888775396</v>
      </c>
      <c r="AL83" s="929">
        <f t="shared" ref="AL83:AM83" si="315">SUM(AL79:AL82)</f>
        <v>1532.1000000000001</v>
      </c>
      <c r="AM83" s="929">
        <f t="shared" si="315"/>
        <v>1556.1</v>
      </c>
      <c r="AN83" s="1069">
        <f t="shared" si="312"/>
        <v>62.695911122460529</v>
      </c>
      <c r="AO83" s="1069">
        <f>AM83-AL83</f>
        <v>23.999999999999773</v>
      </c>
      <c r="AW83" s="398"/>
      <c r="AX83" s="398"/>
      <c r="AY83" s="398"/>
      <c r="AZ83" s="398"/>
      <c r="BA83" s="398"/>
      <c r="BB83" s="398"/>
      <c r="BC83" s="398"/>
      <c r="BD83" s="398"/>
      <c r="BE83" s="398"/>
      <c r="BF83" s="398"/>
      <c r="BG83" s="398"/>
      <c r="BH83" s="398"/>
      <c r="BI83" s="962"/>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Q83" s="398"/>
      <c r="CR83" s="398"/>
      <c r="CV83" s="398"/>
      <c r="CW83" s="396"/>
    </row>
    <row r="84" spans="2:101" x14ac:dyDescent="0.15">
      <c r="T84" s="398"/>
      <c r="BI84" s="962"/>
      <c r="BJ84" s="398"/>
      <c r="BK84" s="398"/>
      <c r="BL84" s="398"/>
      <c r="BM84" s="398"/>
      <c r="BN84" s="398"/>
      <c r="BO84" s="398"/>
      <c r="BP84" s="398"/>
      <c r="BQ84" s="398"/>
      <c r="BR84" s="398"/>
      <c r="BS84" s="398"/>
      <c r="BT84" s="398"/>
      <c r="BU84" s="398"/>
      <c r="BV84" s="398"/>
      <c r="BW84" s="398"/>
      <c r="BX84" s="398"/>
      <c r="BY84" s="398"/>
      <c r="CM84" s="396"/>
      <c r="CN84" s="396"/>
      <c r="CO84" s="396"/>
      <c r="CP84" s="396"/>
      <c r="CS84" s="396"/>
      <c r="CT84" s="396"/>
      <c r="CU84" s="396"/>
      <c r="CW84" s="396"/>
    </row>
    <row r="85" spans="2:101" outlineLevel="1" x14ac:dyDescent="0.15">
      <c r="BI85" s="962"/>
      <c r="CM85" s="396"/>
      <c r="CN85" s="396"/>
      <c r="CO85" s="396"/>
      <c r="CP85" s="396"/>
      <c r="CS85" s="396"/>
      <c r="CT85" s="396"/>
      <c r="CU85" s="396"/>
      <c r="CV85" s="796"/>
      <c r="CW85" s="396"/>
    </row>
    <row r="86" spans="2:101" outlineLevel="1" x14ac:dyDescent="0.15">
      <c r="AG86" s="820"/>
      <c r="AH86" s="802"/>
      <c r="AI86" s="1127"/>
      <c r="AJ86" s="1127"/>
      <c r="AK86" s="1124">
        <f t="shared" ref="AK86:AT86" si="316">AK$44</f>
        <v>2403</v>
      </c>
      <c r="AL86" s="1124">
        <f t="shared" si="316"/>
        <v>2406</v>
      </c>
      <c r="AM86" s="1124">
        <f t="shared" si="316"/>
        <v>2409</v>
      </c>
      <c r="AN86" s="1124">
        <f t="shared" si="316"/>
        <v>2412</v>
      </c>
      <c r="AO86" s="1124">
        <f t="shared" si="316"/>
        <v>2503</v>
      </c>
      <c r="AP86" s="1124">
        <f t="shared" si="316"/>
        <v>2506</v>
      </c>
      <c r="AQ86" s="1124">
        <f t="shared" si="316"/>
        <v>2509</v>
      </c>
      <c r="AR86" s="1124">
        <f t="shared" si="316"/>
        <v>2512</v>
      </c>
      <c r="AS86" s="1124">
        <f t="shared" si="316"/>
        <v>2603</v>
      </c>
      <c r="AT86" s="1124">
        <f t="shared" si="316"/>
        <v>2606</v>
      </c>
      <c r="BI86" s="962"/>
      <c r="CM86" s="396"/>
      <c r="CN86" s="396"/>
      <c r="CO86" s="396"/>
      <c r="CP86" s="396"/>
      <c r="CS86" s="396"/>
      <c r="CT86" s="396"/>
      <c r="CU86" s="396"/>
      <c r="CV86" s="796"/>
      <c r="CW86" s="396"/>
    </row>
    <row r="87" spans="2:101" outlineLevel="1" x14ac:dyDescent="0.15">
      <c r="AG87" s="820" t="s">
        <v>173</v>
      </c>
      <c r="AH87" s="872" t="s">
        <v>499</v>
      </c>
      <c r="AI87" s="872" t="s">
        <v>840</v>
      </c>
      <c r="AJ87" s="872"/>
      <c r="AK87" s="1357">
        <f t="shared" ref="AK87:AS87" si="317">H12</f>
        <v>12.3</v>
      </c>
      <c r="AL87" s="1357">
        <f t="shared" si="317"/>
        <v>10.9</v>
      </c>
      <c r="AM87" s="1357">
        <f t="shared" si="317"/>
        <v>10</v>
      </c>
      <c r="AN87" s="1357">
        <f t="shared" si="317"/>
        <v>10</v>
      </c>
      <c r="AO87" s="1357">
        <f t="shared" si="317"/>
        <v>10</v>
      </c>
      <c r="AP87" s="1357">
        <f t="shared" si="317"/>
        <v>10</v>
      </c>
      <c r="AQ87" s="1357">
        <f t="shared" si="317"/>
        <v>10</v>
      </c>
      <c r="AR87" s="1357">
        <f t="shared" si="317"/>
        <v>10</v>
      </c>
      <c r="AS87" s="1357">
        <f t="shared" si="317"/>
        <v>10</v>
      </c>
      <c r="AT87" s="1357">
        <f>Q12</f>
        <v>10</v>
      </c>
      <c r="BI87" s="962"/>
      <c r="CQ87" s="796"/>
      <c r="CR87" s="796"/>
      <c r="CV87" s="796"/>
      <c r="CW87" s="396"/>
    </row>
    <row r="88" spans="2:101" outlineLevel="1" x14ac:dyDescent="0.15">
      <c r="F88" s="396"/>
      <c r="G88" s="396"/>
      <c r="H88" s="396"/>
      <c r="I88" s="396"/>
      <c r="J88" s="396"/>
      <c r="K88" s="396"/>
      <c r="L88" s="396"/>
      <c r="M88" s="396"/>
      <c r="N88" s="396"/>
      <c r="O88" s="396"/>
      <c r="P88" s="396"/>
      <c r="Q88" s="396"/>
      <c r="R88" s="396"/>
      <c r="S88" s="396"/>
      <c r="U88" s="820"/>
      <c r="V88" s="820"/>
      <c r="AA88" s="820"/>
      <c r="AB88" s="820"/>
      <c r="AG88" s="820" t="s">
        <v>173</v>
      </c>
      <c r="AH88" s="872" t="s">
        <v>169</v>
      </c>
      <c r="AI88" s="872" t="s">
        <v>840</v>
      </c>
      <c r="AJ88" s="872"/>
      <c r="AK88" s="1358">
        <f t="shared" ref="AK88:AT90" si="318">H72</f>
        <v>154.41079300000001</v>
      </c>
      <c r="AL88" s="1358">
        <f t="shared" si="318"/>
        <v>152.745407</v>
      </c>
      <c r="AM88" s="1358">
        <f t="shared" si="318"/>
        <v>151.38143199999999</v>
      </c>
      <c r="AN88" s="1358">
        <f t="shared" si="318"/>
        <v>149.73826700000001</v>
      </c>
      <c r="AO88" s="1358">
        <f t="shared" si="318"/>
        <v>154.41079337179718</v>
      </c>
      <c r="AP88" s="1358">
        <f t="shared" si="318"/>
        <v>152.74540651346109</v>
      </c>
      <c r="AQ88" s="1358">
        <f t="shared" si="318"/>
        <v>151.38143235512493</v>
      </c>
      <c r="AR88" s="1358">
        <f t="shared" si="318"/>
        <v>149.73826726678877</v>
      </c>
      <c r="AS88" s="1358">
        <f t="shared" si="318"/>
        <v>144.64182600000001</v>
      </c>
      <c r="AT88" s="1358">
        <f>Q72</f>
        <v>143.14238800000001</v>
      </c>
      <c r="AU88" s="864"/>
      <c r="BI88" s="962"/>
      <c r="CQ88" s="796"/>
      <c r="CR88" s="857"/>
      <c r="CV88" s="796"/>
      <c r="CW88" s="396"/>
    </row>
    <row r="89" spans="2:101" outlineLevel="1" x14ac:dyDescent="0.15">
      <c r="F89" s="396"/>
      <c r="G89" s="396"/>
      <c r="H89" s="396"/>
      <c r="I89" s="396"/>
      <c r="J89" s="396"/>
      <c r="K89" s="396"/>
      <c r="L89" s="396"/>
      <c r="M89" s="396"/>
      <c r="N89" s="396"/>
      <c r="O89" s="396"/>
      <c r="P89" s="396"/>
      <c r="Q89" s="396"/>
      <c r="R89" s="396"/>
      <c r="S89" s="396"/>
      <c r="T89" s="820"/>
      <c r="U89" s="820"/>
      <c r="V89" s="820"/>
      <c r="AA89" s="820"/>
      <c r="AB89" s="820"/>
      <c r="AG89" s="820" t="s">
        <v>173</v>
      </c>
      <c r="AH89" s="872" t="s">
        <v>170</v>
      </c>
      <c r="AI89" s="872" t="s">
        <v>840</v>
      </c>
      <c r="AJ89" s="872"/>
      <c r="AK89" s="1358">
        <f t="shared" si="318"/>
        <v>420.011731</v>
      </c>
      <c r="AL89" s="1358">
        <f t="shared" si="318"/>
        <v>419.97212000000002</v>
      </c>
      <c r="AM89" s="1358">
        <f t="shared" si="318"/>
        <v>412.576078</v>
      </c>
      <c r="AN89" s="1358">
        <f t="shared" si="318"/>
        <v>420.112189</v>
      </c>
      <c r="AO89" s="1358">
        <f t="shared" si="318"/>
        <v>413.01173125999998</v>
      </c>
      <c r="AP89" s="1358">
        <f t="shared" si="318"/>
        <v>419.97212016950004</v>
      </c>
      <c r="AQ89" s="1358">
        <f t="shared" si="318"/>
        <v>413.57607813999999</v>
      </c>
      <c r="AR89" s="1358">
        <f t="shared" si="318"/>
        <v>418.11218938650001</v>
      </c>
      <c r="AS89" s="1358">
        <f t="shared" si="318"/>
        <v>385.77442000000002</v>
      </c>
      <c r="AT89" s="1358">
        <f t="shared" si="318"/>
        <v>376.19478900000001</v>
      </c>
      <c r="AU89" s="396"/>
      <c r="BI89" s="962"/>
      <c r="CQ89" s="796"/>
      <c r="CR89" s="797"/>
      <c r="CV89" s="796"/>
      <c r="CW89" s="396"/>
    </row>
    <row r="90" spans="2:101" outlineLevel="1" x14ac:dyDescent="0.15">
      <c r="F90" s="396"/>
      <c r="G90" s="396"/>
      <c r="H90" s="396"/>
      <c r="I90" s="396"/>
      <c r="J90" s="396"/>
      <c r="K90" s="396"/>
      <c r="L90" s="396"/>
      <c r="M90" s="396"/>
      <c r="N90" s="396"/>
      <c r="O90" s="396"/>
      <c r="P90" s="396"/>
      <c r="Q90" s="396"/>
      <c r="R90" s="396"/>
      <c r="S90" s="396"/>
      <c r="T90" s="820"/>
      <c r="U90" s="820"/>
      <c r="V90" s="820"/>
      <c r="AA90" s="820"/>
      <c r="AB90" s="820"/>
      <c r="AG90" s="820" t="s">
        <v>173</v>
      </c>
      <c r="AH90" s="873" t="s">
        <v>500</v>
      </c>
      <c r="AI90" s="873" t="s">
        <v>840</v>
      </c>
      <c r="AJ90" s="873"/>
      <c r="AK90" s="1359">
        <f t="shared" si="318"/>
        <v>16.197261999999998</v>
      </c>
      <c r="AL90" s="1359">
        <f t="shared" si="318"/>
        <v>13.942867</v>
      </c>
      <c r="AM90" s="1359">
        <f t="shared" si="318"/>
        <v>25.952307000000001</v>
      </c>
      <c r="AN90" s="1359">
        <f t="shared" si="318"/>
        <v>17.263950999999999</v>
      </c>
      <c r="AO90" s="1359">
        <f t="shared" si="318"/>
        <v>16.197262119999998</v>
      </c>
      <c r="AP90" s="1359">
        <f t="shared" si="318"/>
        <v>13.94286743</v>
      </c>
      <c r="AQ90" s="1359">
        <f t="shared" si="318"/>
        <v>25.95230711</v>
      </c>
      <c r="AR90" s="1359">
        <f t="shared" si="318"/>
        <v>17.263951460000001</v>
      </c>
      <c r="AS90" s="1359">
        <f t="shared" si="318"/>
        <v>45.124966999999998</v>
      </c>
      <c r="AT90" s="1359">
        <f t="shared" si="318"/>
        <v>47.029000000000003</v>
      </c>
      <c r="AU90" s="396"/>
      <c r="BI90" s="888"/>
      <c r="CQ90" s="796"/>
      <c r="CR90" s="797"/>
      <c r="CV90" s="796"/>
      <c r="CW90" s="396"/>
    </row>
    <row r="91" spans="2:101" outlineLevel="1" x14ac:dyDescent="0.15">
      <c r="F91" s="396"/>
      <c r="G91" s="396"/>
      <c r="H91" s="396"/>
      <c r="I91" s="396"/>
      <c r="J91" s="396"/>
      <c r="K91" s="396"/>
      <c r="L91" s="396"/>
      <c r="M91" s="396"/>
      <c r="N91" s="396"/>
      <c r="O91" s="396"/>
      <c r="P91" s="396"/>
      <c r="Q91" s="396"/>
      <c r="R91" s="396"/>
      <c r="S91" s="396"/>
      <c r="T91" s="820"/>
      <c r="U91" s="858"/>
      <c r="V91" s="858"/>
      <c r="AA91" s="858"/>
      <c r="AB91" s="858"/>
      <c r="AG91" s="820" t="s">
        <v>173</v>
      </c>
      <c r="AH91" s="416" t="s">
        <v>360</v>
      </c>
      <c r="AI91" s="416" t="s">
        <v>840</v>
      </c>
      <c r="AJ91" s="416"/>
      <c r="AK91" s="929">
        <f>SUM(AK87:AK90)</f>
        <v>602.91978600000004</v>
      </c>
      <c r="AL91" s="929">
        <f t="shared" ref="AL91:AT91" si="319">SUM(AL87:AL90)</f>
        <v>597.56039399999997</v>
      </c>
      <c r="AM91" s="929">
        <f t="shared" si="319"/>
        <v>599.90981699999998</v>
      </c>
      <c r="AN91" s="929">
        <f t="shared" si="319"/>
        <v>597.11440700000003</v>
      </c>
      <c r="AO91" s="929">
        <f t="shared" si="319"/>
        <v>593.61978675179716</v>
      </c>
      <c r="AP91" s="929">
        <f t="shared" si="319"/>
        <v>596.66039411296106</v>
      </c>
      <c r="AQ91" s="929">
        <f t="shared" si="319"/>
        <v>600.90981760512489</v>
      </c>
      <c r="AR91" s="929">
        <f t="shared" si="319"/>
        <v>595.11440811328885</v>
      </c>
      <c r="AS91" s="929">
        <f t="shared" si="319"/>
        <v>585.54121299999997</v>
      </c>
      <c r="AT91" s="929">
        <f t="shared" si="319"/>
        <v>576.36617699999999</v>
      </c>
      <c r="AU91" s="396"/>
      <c r="BI91" s="888"/>
      <c r="CQ91" s="796"/>
      <c r="CR91" s="797"/>
      <c r="CV91" s="796"/>
      <c r="CW91" s="396"/>
    </row>
    <row r="92" spans="2:101" outlineLevel="1" x14ac:dyDescent="0.15">
      <c r="F92" s="396"/>
      <c r="G92" s="396"/>
      <c r="H92" s="396"/>
      <c r="I92" s="396"/>
      <c r="J92" s="396"/>
      <c r="K92" s="396"/>
      <c r="L92" s="396"/>
      <c r="M92" s="396"/>
      <c r="N92" s="396"/>
      <c r="O92" s="396"/>
      <c r="P92" s="396"/>
      <c r="Q92" s="396"/>
      <c r="R92" s="396"/>
      <c r="S92" s="396"/>
      <c r="T92" s="858"/>
      <c r="AG92" s="820"/>
      <c r="AH92" s="821"/>
      <c r="AI92" s="421"/>
      <c r="AJ92" s="421"/>
      <c r="AK92" s="820"/>
      <c r="AL92" s="820"/>
      <c r="AM92" s="820"/>
      <c r="AN92" s="820"/>
      <c r="AO92" s="820"/>
      <c r="AP92" s="820"/>
      <c r="AQ92" s="820"/>
      <c r="AR92" s="820"/>
      <c r="AS92" s="820"/>
      <c r="AT92" s="820"/>
      <c r="BI92" s="888"/>
      <c r="CQ92" s="796"/>
      <c r="CR92" s="797"/>
      <c r="CV92" s="796"/>
      <c r="CW92" s="396"/>
    </row>
    <row r="93" spans="2:101" outlineLevel="1" x14ac:dyDescent="0.15">
      <c r="F93" s="396"/>
      <c r="G93" s="396"/>
      <c r="H93" s="396"/>
      <c r="I93" s="396"/>
      <c r="J93" s="396"/>
      <c r="K93" s="396"/>
      <c r="L93" s="396"/>
      <c r="M93" s="396"/>
      <c r="N93" s="396"/>
      <c r="O93" s="396"/>
      <c r="P93" s="396"/>
      <c r="Q93" s="396"/>
      <c r="R93" s="396"/>
      <c r="S93" s="396"/>
      <c r="AG93" s="820" t="s">
        <v>175</v>
      </c>
      <c r="AH93" s="872" t="str">
        <f>AH87</f>
        <v>IT System</v>
      </c>
      <c r="AI93" s="872" t="s">
        <v>501</v>
      </c>
      <c r="AJ93" s="872"/>
      <c r="AK93" s="1131"/>
      <c r="AL93" s="1131"/>
      <c r="AM93" s="1131"/>
      <c r="AN93" s="1131"/>
      <c r="AO93" s="1131"/>
      <c r="AP93" s="1131"/>
      <c r="AQ93" s="1131"/>
      <c r="AR93" s="1131"/>
      <c r="AS93" s="1789">
        <v>11.270792643639572</v>
      </c>
      <c r="AT93" s="1789">
        <v>11.473735515783268</v>
      </c>
      <c r="AU93" s="820"/>
      <c r="BI93" s="888"/>
      <c r="CQ93" s="796"/>
      <c r="CR93" s="797"/>
      <c r="CV93" s="796"/>
      <c r="CW93" s="396"/>
    </row>
    <row r="94" spans="2:101" outlineLevel="1" x14ac:dyDescent="0.15">
      <c r="F94" s="396"/>
      <c r="G94" s="396"/>
      <c r="H94" s="396"/>
      <c r="I94" s="396"/>
      <c r="J94" s="396"/>
      <c r="K94" s="396"/>
      <c r="L94" s="396"/>
      <c r="M94" s="396"/>
      <c r="N94" s="396"/>
      <c r="O94" s="396"/>
      <c r="P94" s="396"/>
      <c r="Q94" s="396"/>
      <c r="R94" s="396"/>
      <c r="S94" s="396"/>
      <c r="AG94" s="820" t="s">
        <v>175</v>
      </c>
      <c r="AH94" s="872" t="str">
        <f t="shared" ref="AH94:AH97" si="320">AH88</f>
        <v>Byggnader och Mark</v>
      </c>
      <c r="AI94" s="872" t="s">
        <v>501</v>
      </c>
      <c r="AJ94" s="872"/>
      <c r="AK94" s="1131"/>
      <c r="AL94" s="1131"/>
      <c r="AM94" s="1131"/>
      <c r="AN94" s="1131"/>
      <c r="AO94" s="1131"/>
      <c r="AP94" s="1131"/>
      <c r="AQ94" s="1131"/>
      <c r="AR94" s="1131"/>
      <c r="AS94" s="1789">
        <v>368.11937507500005</v>
      </c>
      <c r="AT94" s="1789">
        <v>379.34570283000005</v>
      </c>
      <c r="BI94" s="888"/>
      <c r="CQ94" s="796"/>
      <c r="CR94" s="797"/>
      <c r="CV94" s="796"/>
      <c r="CW94" s="396"/>
    </row>
    <row r="95" spans="2:101" outlineLevel="1" x14ac:dyDescent="0.15">
      <c r="F95" s="396"/>
      <c r="G95" s="396"/>
      <c r="H95" s="396"/>
      <c r="I95" s="396"/>
      <c r="J95" s="396"/>
      <c r="K95" s="396"/>
      <c r="L95" s="396"/>
      <c r="M95" s="396"/>
      <c r="N95" s="396"/>
      <c r="O95" s="396"/>
      <c r="P95" s="396"/>
      <c r="Q95" s="396"/>
      <c r="R95" s="396"/>
      <c r="S95" s="396"/>
      <c r="U95" s="398"/>
      <c r="V95" s="398"/>
      <c r="AA95" s="398"/>
      <c r="AB95" s="398"/>
      <c r="AG95" s="820" t="s">
        <v>175</v>
      </c>
      <c r="AH95" s="872" t="str">
        <f t="shared" si="320"/>
        <v>Maskiner och inventarier</v>
      </c>
      <c r="AI95" s="872" t="s">
        <v>501</v>
      </c>
      <c r="AJ95" s="872"/>
      <c r="AK95" s="1131"/>
      <c r="AL95" s="1131"/>
      <c r="AM95" s="1131"/>
      <c r="AN95" s="1131"/>
      <c r="AO95" s="1131"/>
      <c r="AP95" s="1131"/>
      <c r="AQ95" s="1131"/>
      <c r="AR95" s="1131"/>
      <c r="AS95" s="1789">
        <v>574.92652790999989</v>
      </c>
      <c r="AT95" s="1789">
        <v>594.98837409999987</v>
      </c>
      <c r="BI95" s="888"/>
      <c r="CQ95" s="796"/>
      <c r="CR95" s="797"/>
      <c r="CV95" s="796"/>
      <c r="CW95" s="396"/>
    </row>
    <row r="96" spans="2:101" s="864" customFormat="1" outlineLevel="1" x14ac:dyDescent="0.15">
      <c r="B96" s="396"/>
      <c r="C96" s="396"/>
      <c r="D96" s="396"/>
      <c r="E96" s="861" t="s">
        <v>502</v>
      </c>
      <c r="F96" s="862"/>
      <c r="G96" s="862"/>
      <c r="H96" s="862"/>
      <c r="I96" s="862"/>
      <c r="J96" s="862"/>
      <c r="K96" s="862"/>
      <c r="L96" s="862"/>
      <c r="M96" s="862"/>
      <c r="N96" s="862"/>
      <c r="O96" s="862"/>
      <c r="P96" s="862"/>
      <c r="Q96" s="862"/>
      <c r="R96" s="862"/>
      <c r="S96" s="862"/>
      <c r="T96" s="398"/>
      <c r="U96" s="398"/>
      <c r="V96" s="398"/>
      <c r="W96" s="396"/>
      <c r="X96" s="396"/>
      <c r="Y96" s="396"/>
      <c r="Z96" s="796"/>
      <c r="AA96" s="398"/>
      <c r="AB96" s="398"/>
      <c r="AC96" s="396"/>
      <c r="AD96" s="396"/>
      <c r="AE96" s="396"/>
      <c r="AF96" s="396"/>
      <c r="AG96" s="820" t="s">
        <v>175</v>
      </c>
      <c r="AH96" s="873" t="str">
        <f t="shared" si="320"/>
        <v>Pågående</v>
      </c>
      <c r="AI96" s="873" t="s">
        <v>501</v>
      </c>
      <c r="AJ96" s="873"/>
      <c r="AK96" s="1132"/>
      <c r="AL96" s="1132"/>
      <c r="AM96" s="1132"/>
      <c r="AN96" s="1132"/>
      <c r="AO96" s="1132"/>
      <c r="AP96" s="1132"/>
      <c r="AQ96" s="1132"/>
      <c r="AR96" s="1132"/>
      <c r="AS96" s="1132"/>
      <c r="AT96" s="1132"/>
      <c r="AU96" s="820"/>
      <c r="AV96" s="396"/>
      <c r="AW96" s="396"/>
      <c r="AX96" s="396"/>
      <c r="AY96" s="396"/>
      <c r="AZ96" s="396"/>
      <c r="BA96" s="396"/>
      <c r="BB96" s="396"/>
      <c r="BC96" s="396"/>
      <c r="BD96" s="396"/>
      <c r="BE96" s="396"/>
      <c r="BF96" s="396"/>
      <c r="BG96" s="396"/>
      <c r="BH96" s="396"/>
      <c r="BI96" s="396"/>
      <c r="BJ96" s="396"/>
      <c r="BK96" s="396"/>
      <c r="BL96" s="396"/>
      <c r="BM96" s="396"/>
      <c r="BN96" s="396"/>
      <c r="BO96" s="396"/>
      <c r="BP96" s="396"/>
      <c r="BQ96" s="396"/>
      <c r="BR96" s="396"/>
      <c r="BS96" s="396"/>
      <c r="BT96" s="396"/>
      <c r="BU96" s="396"/>
      <c r="BV96" s="396"/>
      <c r="BW96" s="396"/>
      <c r="BX96" s="396"/>
      <c r="BY96" s="396"/>
      <c r="BZ96" s="396"/>
      <c r="CA96" s="396"/>
      <c r="CB96" s="396"/>
      <c r="CC96" s="396"/>
      <c r="CD96" s="396"/>
      <c r="CE96" s="396"/>
      <c r="CF96" s="396"/>
      <c r="CG96" s="396"/>
      <c r="CH96" s="396"/>
      <c r="CI96" s="396"/>
      <c r="CJ96" s="396"/>
      <c r="CK96" s="396"/>
      <c r="CL96" s="396"/>
      <c r="CM96" s="398"/>
      <c r="CN96" s="398"/>
      <c r="CO96" s="398"/>
      <c r="CP96" s="398"/>
      <c r="CQ96" s="796"/>
      <c r="CR96" s="863"/>
      <c r="CS96" s="398"/>
      <c r="CT96" s="398"/>
      <c r="CU96" s="398"/>
      <c r="CV96" s="796"/>
    </row>
    <row r="97" spans="2:101" s="864" customFormat="1" outlineLevel="1" x14ac:dyDescent="0.15">
      <c r="B97" s="396"/>
      <c r="C97" s="396"/>
      <c r="E97" s="396"/>
      <c r="F97" s="396"/>
      <c r="G97" s="396"/>
      <c r="H97" s="396"/>
      <c r="I97" s="396"/>
      <c r="J97" s="396"/>
      <c r="K97" s="396"/>
      <c r="L97" s="396"/>
      <c r="M97" s="396"/>
      <c r="N97" s="396"/>
      <c r="O97" s="396"/>
      <c r="P97" s="396"/>
      <c r="Q97" s="396"/>
      <c r="R97" s="396"/>
      <c r="S97" s="396"/>
      <c r="T97" s="398"/>
      <c r="U97" s="867"/>
      <c r="V97" s="867"/>
      <c r="W97" s="396"/>
      <c r="X97" s="396"/>
      <c r="Y97" s="396"/>
      <c r="Z97" s="796"/>
      <c r="AA97" s="867"/>
      <c r="AB97" s="867"/>
      <c r="AC97" s="396"/>
      <c r="AD97" s="396"/>
      <c r="AE97" s="396"/>
      <c r="AF97" s="396"/>
      <c r="AG97" s="820" t="s">
        <v>175</v>
      </c>
      <c r="AH97" s="416" t="str">
        <f t="shared" si="320"/>
        <v>Total</v>
      </c>
      <c r="AI97" s="416" t="s">
        <v>501</v>
      </c>
      <c r="AJ97" s="416"/>
      <c r="AK97" s="1133"/>
      <c r="AL97" s="1133"/>
      <c r="AM97" s="1133"/>
      <c r="AN97" s="1133"/>
      <c r="AO97" s="1133"/>
      <c r="AP97" s="1133"/>
      <c r="AQ97" s="1133"/>
      <c r="AR97" s="1133"/>
      <c r="AS97" s="929">
        <f t="shared" ref="AS97:AT97" si="321">SUM(AS93:AS96)</f>
        <v>954.31669562863954</v>
      </c>
      <c r="AT97" s="929">
        <f t="shared" si="321"/>
        <v>985.80781244578316</v>
      </c>
      <c r="AU97" s="820"/>
      <c r="AV97" s="396"/>
      <c r="BI97" s="396"/>
      <c r="BJ97" s="396"/>
      <c r="BK97" s="396"/>
      <c r="BL97" s="396"/>
      <c r="BM97" s="396"/>
      <c r="BN97" s="396"/>
      <c r="BO97" s="396"/>
      <c r="BP97" s="396"/>
      <c r="BQ97" s="396"/>
      <c r="BR97" s="396"/>
      <c r="BS97" s="396"/>
      <c r="BT97" s="396"/>
      <c r="BU97" s="396"/>
      <c r="BV97" s="396"/>
      <c r="BW97" s="396"/>
      <c r="BX97" s="396"/>
      <c r="BY97" s="396"/>
      <c r="CM97" s="865"/>
      <c r="CN97" s="398"/>
      <c r="CO97" s="398"/>
      <c r="CP97" s="865"/>
      <c r="CQ97" s="866"/>
      <c r="CR97" s="863"/>
      <c r="CS97" s="865"/>
      <c r="CT97" s="398"/>
      <c r="CU97" s="398"/>
      <c r="CV97" s="866"/>
    </row>
    <row r="98" spans="2:101" outlineLevel="1" x14ac:dyDescent="0.15">
      <c r="D98" s="864"/>
      <c r="E98" s="864"/>
      <c r="F98" s="864"/>
      <c r="G98" s="864"/>
      <c r="H98" s="864"/>
      <c r="I98" s="864"/>
      <c r="J98" s="864"/>
      <c r="K98" s="864"/>
      <c r="L98" s="864"/>
      <c r="M98" s="864"/>
      <c r="N98" s="864"/>
      <c r="O98" s="864"/>
      <c r="P98" s="864"/>
      <c r="Q98" s="864"/>
      <c r="R98" s="864"/>
      <c r="S98" s="864"/>
      <c r="T98" s="867"/>
      <c r="U98" s="398"/>
      <c r="V98" s="398"/>
      <c r="AA98" s="398"/>
      <c r="AB98" s="398"/>
      <c r="AG98" s="820"/>
      <c r="AW98" s="864"/>
      <c r="AX98" s="864"/>
      <c r="AY98" s="864"/>
      <c r="AZ98" s="864"/>
      <c r="BA98" s="864"/>
      <c r="BB98" s="864"/>
      <c r="BC98" s="864"/>
      <c r="BD98" s="864"/>
      <c r="BE98" s="864"/>
      <c r="BF98" s="864"/>
      <c r="BG98" s="864"/>
      <c r="BH98" s="864"/>
      <c r="BJ98" s="864"/>
      <c r="BK98" s="864"/>
      <c r="BL98" s="864"/>
      <c r="BM98" s="864"/>
      <c r="BN98" s="864"/>
      <c r="BO98" s="864"/>
      <c r="BP98" s="864"/>
      <c r="BQ98" s="864"/>
      <c r="BR98" s="864"/>
      <c r="BS98" s="864"/>
      <c r="BT98" s="864"/>
      <c r="BU98" s="864"/>
      <c r="BV98" s="864"/>
      <c r="BW98" s="864"/>
      <c r="BX98" s="864"/>
      <c r="BY98" s="864"/>
      <c r="BZ98" s="864"/>
      <c r="CA98" s="864"/>
      <c r="CB98" s="864"/>
      <c r="CC98" s="864"/>
      <c r="CD98" s="864"/>
      <c r="CE98" s="864"/>
      <c r="CF98" s="864"/>
      <c r="CG98" s="864"/>
      <c r="CH98" s="864"/>
      <c r="CI98" s="864"/>
      <c r="CJ98" s="864"/>
      <c r="CK98" s="864"/>
      <c r="CL98" s="864"/>
      <c r="CM98" s="865"/>
      <c r="CP98" s="865"/>
      <c r="CQ98" s="866"/>
      <c r="CR98" s="868"/>
      <c r="CS98" s="865"/>
      <c r="CV98" s="866"/>
      <c r="CW98" s="396"/>
    </row>
    <row r="99" spans="2:101" outlineLevel="1" x14ac:dyDescent="0.15">
      <c r="F99" s="396"/>
      <c r="G99" s="396"/>
      <c r="H99" s="396"/>
      <c r="I99" s="396"/>
      <c r="J99" s="396"/>
      <c r="K99" s="396"/>
      <c r="L99" s="396"/>
      <c r="M99" s="396"/>
      <c r="N99" s="396"/>
      <c r="O99" s="396"/>
      <c r="P99" s="396"/>
      <c r="Q99" s="396"/>
      <c r="R99" s="396"/>
      <c r="S99" s="396"/>
      <c r="T99" s="398"/>
      <c r="U99" s="398"/>
      <c r="V99" s="398"/>
      <c r="AA99" s="398"/>
      <c r="AB99" s="398"/>
      <c r="AG99" s="820" t="s">
        <v>177</v>
      </c>
      <c r="AH99" s="872" t="str">
        <f>AH117</f>
        <v>IT System</v>
      </c>
      <c r="AI99" s="872" t="s">
        <v>50</v>
      </c>
      <c r="AJ99" s="872"/>
      <c r="AK99" s="1118">
        <v>0.25</v>
      </c>
      <c r="AL99" s="1118">
        <v>0.5</v>
      </c>
      <c r="AM99" s="1118">
        <v>0.75</v>
      </c>
      <c r="AN99" s="1118">
        <v>1</v>
      </c>
      <c r="AO99" s="1118">
        <v>0.25</v>
      </c>
      <c r="AP99" s="1118">
        <v>0.5</v>
      </c>
      <c r="AQ99" s="1118">
        <v>0.75</v>
      </c>
      <c r="AR99" s="1118">
        <v>1</v>
      </c>
      <c r="AS99" s="1118"/>
      <c r="AT99" s="1118"/>
      <c r="BJ99" s="864"/>
      <c r="BK99" s="864"/>
      <c r="BL99" s="864"/>
      <c r="BM99" s="864"/>
      <c r="BN99" s="864"/>
      <c r="BO99" s="864"/>
      <c r="BP99" s="864"/>
      <c r="BQ99" s="864"/>
      <c r="BR99" s="864"/>
      <c r="BS99" s="864"/>
      <c r="BT99" s="864"/>
      <c r="BU99" s="864"/>
      <c r="BV99" s="864"/>
      <c r="BW99" s="864"/>
      <c r="BX99" s="864"/>
      <c r="BY99" s="864"/>
      <c r="CQ99" s="796"/>
      <c r="CR99" s="868"/>
      <c r="CV99" s="796"/>
      <c r="CW99" s="396"/>
    </row>
    <row r="100" spans="2:101" outlineLevel="1" x14ac:dyDescent="0.15">
      <c r="F100" s="396"/>
      <c r="G100" s="396"/>
      <c r="H100" s="396"/>
      <c r="I100" s="396"/>
      <c r="J100" s="396"/>
      <c r="K100" s="396"/>
      <c r="L100" s="396"/>
      <c r="M100" s="396"/>
      <c r="N100" s="396"/>
      <c r="O100" s="396"/>
      <c r="P100" s="396"/>
      <c r="Q100" s="396"/>
      <c r="R100" s="396"/>
      <c r="S100" s="396"/>
      <c r="T100" s="398"/>
      <c r="U100" s="398"/>
      <c r="V100" s="398"/>
      <c r="AA100" s="398"/>
      <c r="AB100" s="398"/>
      <c r="AG100" s="820" t="s">
        <v>177</v>
      </c>
      <c r="AH100" s="872" t="str">
        <f>AH118</f>
        <v>Byggnader och Mark</v>
      </c>
      <c r="AI100" s="872" t="s">
        <v>50</v>
      </c>
      <c r="AJ100" s="872"/>
      <c r="AK100" s="1118">
        <v>0.25</v>
      </c>
      <c r="AL100" s="1118">
        <v>0.5</v>
      </c>
      <c r="AM100" s="1118">
        <v>0.75</v>
      </c>
      <c r="AN100" s="1118">
        <v>1</v>
      </c>
      <c r="AO100" s="1118">
        <v>0.25</v>
      </c>
      <c r="AP100" s="1118">
        <v>0.5</v>
      </c>
      <c r="AQ100" s="1118">
        <v>0.75</v>
      </c>
      <c r="AR100" s="1118">
        <v>1</v>
      </c>
      <c r="AS100" s="1118"/>
      <c r="AT100" s="1118"/>
      <c r="CQ100" s="796"/>
      <c r="CR100" s="863"/>
      <c r="CV100" s="796"/>
      <c r="CW100" s="396"/>
    </row>
    <row r="101" spans="2:101" outlineLevel="1" x14ac:dyDescent="0.15">
      <c r="F101" s="396"/>
      <c r="G101" s="396"/>
      <c r="H101" s="396"/>
      <c r="I101" s="396"/>
      <c r="J101" s="396"/>
      <c r="K101" s="396"/>
      <c r="L101" s="396"/>
      <c r="M101" s="396"/>
      <c r="N101" s="396"/>
      <c r="O101" s="396"/>
      <c r="P101" s="396"/>
      <c r="Q101" s="396"/>
      <c r="R101" s="396"/>
      <c r="S101" s="396"/>
      <c r="T101" s="398"/>
      <c r="U101" s="820"/>
      <c r="V101" s="820"/>
      <c r="AA101" s="820"/>
      <c r="AB101" s="820"/>
      <c r="AG101" s="820" t="s">
        <v>177</v>
      </c>
      <c r="AH101" s="872" t="str">
        <f>AH119</f>
        <v>Maskiner och inventarier</v>
      </c>
      <c r="AI101" s="872" t="s">
        <v>50</v>
      </c>
      <c r="AJ101" s="872"/>
      <c r="AK101" s="1118">
        <v>0.25</v>
      </c>
      <c r="AL101" s="1118">
        <v>0.5</v>
      </c>
      <c r="AM101" s="1118">
        <v>0.75</v>
      </c>
      <c r="AN101" s="1118">
        <v>1</v>
      </c>
      <c r="AO101" s="1118">
        <v>0.25</v>
      </c>
      <c r="AP101" s="1118">
        <v>0.5</v>
      </c>
      <c r="AQ101" s="1118">
        <v>0.75</v>
      </c>
      <c r="AR101" s="1118">
        <v>1</v>
      </c>
      <c r="AS101" s="1118"/>
      <c r="AT101" s="1118"/>
      <c r="CQ101" s="796"/>
      <c r="CR101" s="863"/>
      <c r="CV101" s="796"/>
      <c r="CW101" s="396"/>
    </row>
    <row r="102" spans="2:101" outlineLevel="1" x14ac:dyDescent="0.15">
      <c r="F102" s="396"/>
      <c r="G102" s="396"/>
      <c r="H102" s="396"/>
      <c r="I102" s="396"/>
      <c r="J102" s="396"/>
      <c r="K102" s="396"/>
      <c r="L102" s="396"/>
      <c r="M102" s="396"/>
      <c r="N102" s="396"/>
      <c r="O102" s="396"/>
      <c r="P102" s="396"/>
      <c r="Q102" s="396"/>
      <c r="R102" s="396"/>
      <c r="S102" s="396"/>
      <c r="T102" s="820"/>
      <c r="U102" s="398"/>
      <c r="V102" s="398"/>
      <c r="AA102" s="398"/>
      <c r="AB102" s="398"/>
      <c r="AG102" s="820" t="s">
        <v>177</v>
      </c>
      <c r="AH102" s="873" t="str">
        <f>AH120</f>
        <v>Pågående</v>
      </c>
      <c r="AI102" s="873" t="s">
        <v>50</v>
      </c>
      <c r="AJ102" s="873"/>
      <c r="AK102" s="1128">
        <v>0.25</v>
      </c>
      <c r="AL102" s="1128">
        <v>0.5</v>
      </c>
      <c r="AM102" s="1128">
        <v>0.75</v>
      </c>
      <c r="AN102" s="1128">
        <v>1</v>
      </c>
      <c r="AO102" s="1128">
        <v>0.25</v>
      </c>
      <c r="AP102" s="1128">
        <v>0.5</v>
      </c>
      <c r="AQ102" s="1128">
        <v>0.75</v>
      </c>
      <c r="AR102" s="1128">
        <v>1</v>
      </c>
      <c r="AS102" s="1128"/>
      <c r="AT102" s="1128"/>
      <c r="CQ102" s="796"/>
      <c r="CR102" s="863"/>
      <c r="CV102" s="796"/>
      <c r="CW102" s="396"/>
    </row>
    <row r="103" spans="2:101" outlineLevel="1" x14ac:dyDescent="0.15">
      <c r="F103" s="396"/>
      <c r="G103" s="396"/>
      <c r="H103" s="396"/>
      <c r="I103" s="396"/>
      <c r="J103" s="396"/>
      <c r="K103" s="396"/>
      <c r="L103" s="396"/>
      <c r="M103" s="396"/>
      <c r="N103" s="396"/>
      <c r="O103" s="396"/>
      <c r="P103" s="396"/>
      <c r="Q103" s="396"/>
      <c r="R103" s="396"/>
      <c r="S103" s="396"/>
      <c r="T103" s="398"/>
      <c r="U103" s="398"/>
      <c r="V103" s="398"/>
      <c r="AA103" s="398"/>
      <c r="AB103" s="398"/>
      <c r="AG103" s="820" t="s">
        <v>177</v>
      </c>
      <c r="AH103" s="416" t="str">
        <f>AH121</f>
        <v>Total</v>
      </c>
      <c r="AI103" s="416" t="s">
        <v>50</v>
      </c>
      <c r="AJ103" s="416"/>
      <c r="AK103" s="1129">
        <v>0.25</v>
      </c>
      <c r="AL103" s="1129">
        <v>0.5</v>
      </c>
      <c r="AM103" s="1129">
        <v>0.75</v>
      </c>
      <c r="AN103" s="1129">
        <v>1</v>
      </c>
      <c r="AO103" s="1129">
        <v>0.25</v>
      </c>
      <c r="AP103" s="1129">
        <v>0.5</v>
      </c>
      <c r="AQ103" s="1129">
        <v>0.75</v>
      </c>
      <c r="AR103" s="1129">
        <v>1</v>
      </c>
      <c r="AS103" s="1129"/>
      <c r="AT103" s="1129"/>
      <c r="BI103" s="864"/>
      <c r="CQ103" s="796"/>
      <c r="CR103" s="871"/>
      <c r="CV103" s="796"/>
      <c r="CW103" s="396"/>
    </row>
    <row r="104" spans="2:101" outlineLevel="1" x14ac:dyDescent="0.15">
      <c r="F104" s="396"/>
      <c r="G104" s="396"/>
      <c r="H104" s="396"/>
      <c r="I104" s="396"/>
      <c r="J104" s="396"/>
      <c r="K104" s="396"/>
      <c r="L104" s="396"/>
      <c r="M104" s="396"/>
      <c r="N104" s="396"/>
      <c r="O104" s="396"/>
      <c r="P104" s="396"/>
      <c r="Q104" s="396"/>
      <c r="R104" s="396"/>
      <c r="S104" s="396"/>
      <c r="T104" s="398"/>
      <c r="U104" s="398"/>
      <c r="V104" s="398"/>
      <c r="AA104" s="398"/>
      <c r="AB104" s="398"/>
      <c r="AG104" s="820"/>
      <c r="BI104" s="864"/>
      <c r="CQ104" s="796"/>
      <c r="CR104" s="863"/>
      <c r="CV104" s="796"/>
      <c r="CW104" s="396"/>
    </row>
    <row r="105" spans="2:101" outlineLevel="1" x14ac:dyDescent="0.15">
      <c r="F105" s="396"/>
      <c r="G105" s="396"/>
      <c r="H105" s="396"/>
      <c r="I105" s="396"/>
      <c r="J105" s="396"/>
      <c r="K105" s="396"/>
      <c r="L105" s="396"/>
      <c r="M105" s="396"/>
      <c r="N105" s="396"/>
      <c r="O105" s="396"/>
      <c r="P105" s="396"/>
      <c r="Q105" s="396"/>
      <c r="R105" s="396"/>
      <c r="S105" s="396"/>
      <c r="T105" s="398"/>
      <c r="U105" s="398"/>
      <c r="V105" s="398"/>
      <c r="AA105" s="398"/>
      <c r="AB105" s="398"/>
      <c r="AG105" s="820" t="s">
        <v>179</v>
      </c>
      <c r="AH105" s="872" t="str">
        <f>AH87</f>
        <v>IT System</v>
      </c>
      <c r="AI105" s="872" t="s">
        <v>841</v>
      </c>
      <c r="AJ105" s="872"/>
      <c r="AK105" s="211">
        <f>$AK79+(AK99*$AN79)</f>
        <v>23.966496865203762</v>
      </c>
      <c r="AL105" s="211">
        <f t="shared" ref="AK105:AM108" si="322">$AK79+(AL99*$AN79)</f>
        <v>22.977664576802511</v>
      </c>
      <c r="AM105" s="211">
        <f>$AK79+(AM99*$AN79)</f>
        <v>21.988832288401255</v>
      </c>
      <c r="AN105" s="1130">
        <f>AL79</f>
        <v>21</v>
      </c>
      <c r="AO105" s="211">
        <f t="shared" ref="AO105:AQ108" si="323">$AN105+($AO79*AO99)</f>
        <v>21</v>
      </c>
      <c r="AP105" s="211">
        <f t="shared" si="323"/>
        <v>21</v>
      </c>
      <c r="AQ105" s="211">
        <f t="shared" si="323"/>
        <v>21</v>
      </c>
      <c r="AR105" s="1130">
        <f>AM79</f>
        <v>21</v>
      </c>
      <c r="AS105" s="211">
        <f t="shared" ref="AS105:AT108" si="324">SUM(AS87,AS93)</f>
        <v>21.270792643639574</v>
      </c>
      <c r="AT105" s="211">
        <f>SUM(AT87,AT93)</f>
        <v>21.473735515783268</v>
      </c>
      <c r="CQ105" s="796"/>
      <c r="CR105" s="863"/>
      <c r="CV105" s="796"/>
      <c r="CW105" s="396"/>
    </row>
    <row r="106" spans="2:101" outlineLevel="1" x14ac:dyDescent="0.15">
      <c r="F106" s="396"/>
      <c r="G106" s="396"/>
      <c r="H106" s="396"/>
      <c r="I106" s="396"/>
      <c r="J106" s="396"/>
      <c r="K106" s="396"/>
      <c r="L106" s="396"/>
      <c r="M106" s="396"/>
      <c r="N106" s="396"/>
      <c r="O106" s="396"/>
      <c r="P106" s="396"/>
      <c r="Q106" s="396"/>
      <c r="R106" s="396"/>
      <c r="S106" s="396"/>
      <c r="T106" s="398"/>
      <c r="U106" s="398"/>
      <c r="V106" s="398"/>
      <c r="AA106" s="398"/>
      <c r="AB106" s="398"/>
      <c r="AG106" s="820" t="s">
        <v>179</v>
      </c>
      <c r="AH106" s="872" t="str">
        <f>AH88</f>
        <v>Byggnader och Mark</v>
      </c>
      <c r="AI106" s="872" t="s">
        <v>841</v>
      </c>
      <c r="AJ106" s="872"/>
      <c r="AK106" s="211">
        <f t="shared" si="322"/>
        <v>574.87623513659867</v>
      </c>
      <c r="AL106" s="211">
        <f>$AK80+(AL100*$AN80)</f>
        <v>579.98415675773253</v>
      </c>
      <c r="AM106" s="211">
        <f t="shared" si="322"/>
        <v>585.09207837886629</v>
      </c>
      <c r="AN106" s="1130">
        <f>AL80</f>
        <v>590.20000000000005</v>
      </c>
      <c r="AO106" s="211">
        <f t="shared" si="323"/>
        <v>589.375</v>
      </c>
      <c r="AP106" s="211">
        <f>$AN106+($AO80*AP100)</f>
        <v>588.54999999999995</v>
      </c>
      <c r="AQ106" s="211">
        <f t="shared" si="323"/>
        <v>587.72500000000002</v>
      </c>
      <c r="AR106" s="1130">
        <f>AM80</f>
        <v>586.9</v>
      </c>
      <c r="AS106" s="211">
        <f t="shared" si="324"/>
        <v>512.76120107500003</v>
      </c>
      <c r="AT106" s="211">
        <f>SUM(AT88,AT94)</f>
        <v>522.48809083000003</v>
      </c>
      <c r="CQ106" s="796"/>
      <c r="CR106" s="863"/>
      <c r="CV106" s="796"/>
      <c r="CW106" s="396"/>
    </row>
    <row r="107" spans="2:101" outlineLevel="1" x14ac:dyDescent="0.15">
      <c r="F107" s="396"/>
      <c r="G107" s="396"/>
      <c r="H107" s="396"/>
      <c r="I107" s="396"/>
      <c r="J107" s="396"/>
      <c r="K107" s="396"/>
      <c r="L107" s="396"/>
      <c r="M107" s="396"/>
      <c r="N107" s="396"/>
      <c r="O107" s="396"/>
      <c r="P107" s="396"/>
      <c r="Q107" s="396"/>
      <c r="R107" s="396"/>
      <c r="S107" s="396"/>
      <c r="T107" s="398"/>
      <c r="U107" s="820"/>
      <c r="V107" s="820"/>
      <c r="AA107" s="820"/>
      <c r="AB107" s="820"/>
      <c r="AG107" s="820" t="s">
        <v>179</v>
      </c>
      <c r="AH107" s="872" t="str">
        <f>AH89</f>
        <v>Maskiner och inventarier</v>
      </c>
      <c r="AI107" s="872" t="s">
        <v>841</v>
      </c>
      <c r="AJ107" s="872"/>
      <c r="AK107" s="211">
        <f t="shared" si="322"/>
        <v>867.13533465635226</v>
      </c>
      <c r="AL107" s="211">
        <f t="shared" si="322"/>
        <v>879.29022310423488</v>
      </c>
      <c r="AM107" s="211">
        <f t="shared" si="322"/>
        <v>891.4451115521174</v>
      </c>
      <c r="AN107" s="1130">
        <f>AL81</f>
        <v>903.6</v>
      </c>
      <c r="AO107" s="211">
        <f t="shared" si="323"/>
        <v>903.85</v>
      </c>
      <c r="AP107" s="211">
        <f t="shared" si="323"/>
        <v>904.1</v>
      </c>
      <c r="AQ107" s="211">
        <f t="shared" si="323"/>
        <v>904.35</v>
      </c>
      <c r="AR107" s="1130">
        <f>AM81</f>
        <v>904.6</v>
      </c>
      <c r="AS107" s="211">
        <f>SUM(AS89,AS95)</f>
        <v>960.70094790999997</v>
      </c>
      <c r="AT107" s="211">
        <f>SUM(AT89,AT95)</f>
        <v>971.18316309999989</v>
      </c>
      <c r="CQ107" s="796"/>
      <c r="CR107" s="871"/>
      <c r="CV107" s="796"/>
      <c r="CW107" s="396"/>
    </row>
    <row r="108" spans="2:101" outlineLevel="1" x14ac:dyDescent="0.15">
      <c r="F108" s="396"/>
      <c r="G108" s="396"/>
      <c r="H108" s="396"/>
      <c r="I108" s="396"/>
      <c r="J108" s="396"/>
      <c r="K108" s="396"/>
      <c r="L108" s="396"/>
      <c r="M108" s="396"/>
      <c r="N108" s="396"/>
      <c r="O108" s="396"/>
      <c r="P108" s="396"/>
      <c r="Q108" s="396"/>
      <c r="R108" s="396"/>
      <c r="S108" s="396"/>
      <c r="T108" s="820"/>
      <c r="U108" s="820"/>
      <c r="V108" s="820"/>
      <c r="AA108" s="820"/>
      <c r="AB108" s="820"/>
      <c r="AG108" s="820" t="s">
        <v>179</v>
      </c>
      <c r="AH108" s="873" t="str">
        <f>AH90</f>
        <v>Pågående</v>
      </c>
      <c r="AI108" s="873" t="s">
        <v>841</v>
      </c>
      <c r="AJ108" s="873"/>
      <c r="AK108" s="224">
        <f t="shared" si="322"/>
        <v>19.100000000000001</v>
      </c>
      <c r="AL108" s="224">
        <f t="shared" si="322"/>
        <v>18.5</v>
      </c>
      <c r="AM108" s="224">
        <f t="shared" si="322"/>
        <v>17.899999999999999</v>
      </c>
      <c r="AN108" s="1134">
        <f>AL82</f>
        <v>17.3</v>
      </c>
      <c r="AO108" s="224">
        <f t="shared" si="323"/>
        <v>23.875</v>
      </c>
      <c r="AP108" s="224">
        <f t="shared" si="323"/>
        <v>30.450000000000003</v>
      </c>
      <c r="AQ108" s="224">
        <f t="shared" si="323"/>
        <v>37.025000000000006</v>
      </c>
      <c r="AR108" s="1134">
        <f>AM82</f>
        <v>43.6</v>
      </c>
      <c r="AS108" s="224">
        <f t="shared" si="324"/>
        <v>45.124966999999998</v>
      </c>
      <c r="AT108" s="224">
        <f t="shared" si="324"/>
        <v>47.029000000000003</v>
      </c>
      <c r="CQ108" s="796"/>
      <c r="CR108" s="797"/>
      <c r="CV108" s="796"/>
      <c r="CW108" s="396"/>
    </row>
    <row r="109" spans="2:101" outlineLevel="1" x14ac:dyDescent="0.15">
      <c r="F109" s="396"/>
      <c r="G109" s="396"/>
      <c r="H109" s="396"/>
      <c r="I109" s="396"/>
      <c r="J109" s="396"/>
      <c r="K109" s="396"/>
      <c r="L109" s="396"/>
      <c r="M109" s="396"/>
      <c r="N109" s="396"/>
      <c r="O109" s="396"/>
      <c r="P109" s="396"/>
      <c r="Q109" s="396"/>
      <c r="R109" s="396"/>
      <c r="S109" s="396"/>
      <c r="T109" s="820"/>
      <c r="U109" s="398"/>
      <c r="V109" s="398"/>
      <c r="AA109" s="398"/>
      <c r="AB109" s="398"/>
      <c r="AG109" s="820" t="s">
        <v>179</v>
      </c>
      <c r="AH109" s="416" t="str">
        <f>AH91</f>
        <v>Total</v>
      </c>
      <c r="AI109" s="416" t="s">
        <v>841</v>
      </c>
      <c r="AJ109" s="416"/>
      <c r="AK109" s="1069">
        <f>SUM(AK105:AK108)</f>
        <v>1485.0780666581545</v>
      </c>
      <c r="AL109" s="1069">
        <f t="shared" ref="AL109" si="325">SUM(AL105:AL108)</f>
        <v>1500.7520444387699</v>
      </c>
      <c r="AM109" s="1069">
        <f t="shared" ref="AM109" si="326">SUM(AM105:AM108)</f>
        <v>1516.426022219385</v>
      </c>
      <c r="AN109" s="1135">
        <f t="shared" ref="AN109" si="327">SUM(AN105:AN108)</f>
        <v>1532.1000000000001</v>
      </c>
      <c r="AO109" s="1069">
        <f t="shared" ref="AO109" si="328">SUM(AO105:AO108)</f>
        <v>1538.1</v>
      </c>
      <c r="AP109" s="1069">
        <f t="shared" ref="AP109" si="329">SUM(AP105:AP108)</f>
        <v>1544.1000000000001</v>
      </c>
      <c r="AQ109" s="1069">
        <f t="shared" ref="AQ109" si="330">SUM(AQ105:AQ108)</f>
        <v>1550.1000000000001</v>
      </c>
      <c r="AR109" s="1135">
        <f t="shared" ref="AR109" si="331">SUM(AR105:AR108)</f>
        <v>1556.1</v>
      </c>
      <c r="AS109" s="1069">
        <f>SUM(AS105:AS108)</f>
        <v>1539.8579086286395</v>
      </c>
      <c r="AT109" s="1069">
        <f>SUM(AT105:AT108)</f>
        <v>1562.1739894457833</v>
      </c>
      <c r="CQ109" s="796"/>
      <c r="CR109" s="796"/>
      <c r="CV109" s="796"/>
      <c r="CW109" s="396"/>
    </row>
    <row r="110" spans="2:101" outlineLevel="1" x14ac:dyDescent="0.15">
      <c r="F110" s="396"/>
      <c r="G110" s="396"/>
      <c r="H110" s="396"/>
      <c r="I110" s="396"/>
      <c r="J110" s="396"/>
      <c r="K110" s="396"/>
      <c r="L110" s="396"/>
      <c r="M110" s="396"/>
      <c r="N110" s="396"/>
      <c r="O110" s="396"/>
      <c r="P110" s="396"/>
      <c r="Q110" s="396"/>
      <c r="R110" s="396"/>
      <c r="S110" s="396"/>
      <c r="T110" s="398"/>
      <c r="U110" s="398"/>
      <c r="V110" s="398"/>
      <c r="AA110" s="398"/>
      <c r="AB110" s="398"/>
      <c r="CQ110" s="796"/>
      <c r="CR110" s="797"/>
      <c r="CV110" s="796"/>
      <c r="CW110" s="396"/>
    </row>
    <row r="111" spans="2:101" ht="10.5" customHeight="1" outlineLevel="1" x14ac:dyDescent="0.15">
      <c r="F111" s="396"/>
      <c r="G111" s="396"/>
      <c r="H111" s="396"/>
      <c r="I111" s="396"/>
      <c r="J111" s="396"/>
      <c r="K111" s="396"/>
      <c r="L111" s="396"/>
      <c r="M111" s="396"/>
      <c r="N111" s="396"/>
      <c r="O111" s="396"/>
      <c r="P111" s="396"/>
      <c r="Q111" s="396"/>
      <c r="R111" s="396"/>
      <c r="S111" s="396"/>
      <c r="T111" s="398"/>
      <c r="U111" s="398"/>
      <c r="V111" s="398"/>
      <c r="AA111" s="398"/>
      <c r="AB111" s="398"/>
      <c r="AG111" s="820" t="s">
        <v>503</v>
      </c>
      <c r="AH111" s="872" t="str">
        <f>AH105</f>
        <v>IT System</v>
      </c>
      <c r="AI111" s="872"/>
      <c r="AJ111" s="872"/>
      <c r="AK111" s="1060"/>
      <c r="AL111" s="1060"/>
      <c r="AM111" s="1060"/>
      <c r="AN111" s="1060"/>
      <c r="AO111" s="1060"/>
      <c r="AP111" s="1060"/>
      <c r="AQ111" s="1060"/>
      <c r="AR111" s="1060"/>
      <c r="AS111" s="1060"/>
      <c r="AT111" s="1060"/>
      <c r="CQ111" s="796"/>
      <c r="CR111" s="874"/>
      <c r="CV111" s="796"/>
      <c r="CW111" s="396"/>
    </row>
    <row r="112" spans="2:101" s="864" customFormat="1" outlineLevel="1" x14ac:dyDescent="0.15">
      <c r="B112" s="396"/>
      <c r="C112" s="396"/>
      <c r="D112" s="396"/>
      <c r="E112" s="396"/>
      <c r="F112" s="396"/>
      <c r="G112" s="396"/>
      <c r="H112" s="396"/>
      <c r="I112" s="396"/>
      <c r="J112" s="396"/>
      <c r="K112" s="396"/>
      <c r="L112" s="396"/>
      <c r="M112" s="396"/>
      <c r="N112" s="396"/>
      <c r="O112" s="396"/>
      <c r="P112" s="396"/>
      <c r="Q112" s="396"/>
      <c r="R112" s="396"/>
      <c r="S112" s="396"/>
      <c r="T112" s="398"/>
      <c r="U112" s="867"/>
      <c r="V112" s="867"/>
      <c r="W112" s="396"/>
      <c r="X112" s="396"/>
      <c r="Y112" s="396"/>
      <c r="Z112" s="796"/>
      <c r="AA112" s="867"/>
      <c r="AB112" s="867"/>
      <c r="AC112" s="396"/>
      <c r="AD112" s="396"/>
      <c r="AE112" s="396"/>
      <c r="AF112" s="396"/>
      <c r="AG112" s="820" t="s">
        <v>503</v>
      </c>
      <c r="AH112" s="872" t="str">
        <f>AH106</f>
        <v>Byggnader och Mark</v>
      </c>
      <c r="AI112" s="872" t="s">
        <v>679</v>
      </c>
      <c r="AJ112" s="872"/>
      <c r="AK112" s="1060">
        <v>-87</v>
      </c>
      <c r="AL112" s="1060">
        <v>-87</v>
      </c>
      <c r="AM112" s="1060">
        <v>-87</v>
      </c>
      <c r="AN112" s="1060">
        <v>-87</v>
      </c>
      <c r="AO112" s="1060">
        <v>-87</v>
      </c>
      <c r="AP112" s="1060">
        <v>-87</v>
      </c>
      <c r="AQ112" s="1060">
        <v>-87</v>
      </c>
      <c r="AR112" s="1060">
        <v>-87</v>
      </c>
      <c r="AS112" s="1060"/>
      <c r="AT112" s="1060"/>
      <c r="AU112" s="398"/>
      <c r="AV112" s="396"/>
      <c r="AW112" s="396"/>
      <c r="AX112" s="396"/>
      <c r="AY112" s="396"/>
      <c r="AZ112" s="396"/>
      <c r="BA112" s="396"/>
      <c r="BB112" s="396"/>
      <c r="BC112" s="396"/>
      <c r="BD112" s="396"/>
      <c r="BE112" s="396"/>
      <c r="BF112" s="396"/>
      <c r="BG112" s="396"/>
      <c r="BH112" s="396"/>
      <c r="BI112" s="396"/>
      <c r="BJ112" s="396"/>
      <c r="BK112" s="396"/>
      <c r="BL112" s="396"/>
      <c r="BM112" s="396"/>
      <c r="BN112" s="396"/>
      <c r="BO112" s="396"/>
      <c r="BP112" s="396"/>
      <c r="BQ112" s="396"/>
      <c r="BR112" s="396"/>
      <c r="BS112" s="396"/>
      <c r="BT112" s="396"/>
      <c r="BU112" s="396"/>
      <c r="BV112" s="396"/>
      <c r="BW112" s="396"/>
      <c r="BX112" s="396"/>
      <c r="BY112" s="396"/>
      <c r="BZ112" s="396"/>
      <c r="CA112" s="396"/>
      <c r="CB112" s="396"/>
      <c r="CC112" s="396"/>
      <c r="CD112" s="396"/>
      <c r="CE112" s="396"/>
      <c r="CF112" s="396"/>
      <c r="CG112" s="396"/>
      <c r="CH112" s="396"/>
      <c r="CI112" s="396"/>
      <c r="CJ112" s="396"/>
      <c r="CK112" s="396"/>
      <c r="CL112" s="396"/>
      <c r="CM112" s="398"/>
      <c r="CN112" s="398"/>
      <c r="CO112" s="398"/>
      <c r="CP112" s="398"/>
      <c r="CQ112" s="796"/>
      <c r="CR112" s="868"/>
      <c r="CS112" s="398"/>
      <c r="CT112" s="398"/>
      <c r="CU112" s="398"/>
      <c r="CV112" s="796"/>
    </row>
    <row r="113" spans="2:101" outlineLevel="1" x14ac:dyDescent="0.15">
      <c r="D113" s="864"/>
      <c r="E113" s="864"/>
      <c r="F113" s="864"/>
      <c r="G113" s="864"/>
      <c r="H113" s="864"/>
      <c r="I113" s="864"/>
      <c r="J113" s="864"/>
      <c r="K113" s="864"/>
      <c r="L113" s="864"/>
      <c r="M113" s="864"/>
      <c r="N113" s="864"/>
      <c r="O113" s="864"/>
      <c r="P113" s="864"/>
      <c r="Q113" s="864"/>
      <c r="R113" s="864"/>
      <c r="S113" s="864"/>
      <c r="T113" s="867"/>
      <c r="U113" s="398"/>
      <c r="V113" s="398"/>
      <c r="AA113" s="398"/>
      <c r="AB113" s="398"/>
      <c r="AG113" s="820" t="s">
        <v>503</v>
      </c>
      <c r="AH113" s="872" t="str">
        <f>AH107</f>
        <v>Maskiner och inventarier</v>
      </c>
      <c r="AI113" s="872" t="s">
        <v>679</v>
      </c>
      <c r="AJ113" s="872"/>
      <c r="AK113" s="1060">
        <v>87</v>
      </c>
      <c r="AL113" s="1060">
        <v>87</v>
      </c>
      <c r="AM113" s="1060">
        <v>87</v>
      </c>
      <c r="AN113" s="1060">
        <v>87</v>
      </c>
      <c r="AO113" s="1060">
        <v>87</v>
      </c>
      <c r="AP113" s="1060">
        <v>87</v>
      </c>
      <c r="AQ113" s="1060">
        <v>87</v>
      </c>
      <c r="AR113" s="1060">
        <v>87</v>
      </c>
      <c r="AS113" s="1060"/>
      <c r="AT113" s="1060"/>
      <c r="AW113" s="864"/>
      <c r="AX113" s="864"/>
      <c r="AY113" s="864"/>
      <c r="AZ113" s="864"/>
      <c r="BA113" s="864"/>
      <c r="BB113" s="864"/>
      <c r="BC113" s="864"/>
      <c r="BD113" s="864"/>
      <c r="BE113" s="864"/>
      <c r="BF113" s="864"/>
      <c r="BG113" s="864"/>
      <c r="BH113" s="864"/>
      <c r="BZ113" s="864"/>
      <c r="CA113" s="864"/>
      <c r="CB113" s="864"/>
      <c r="CC113" s="864"/>
      <c r="CD113" s="864"/>
      <c r="CE113" s="864"/>
      <c r="CF113" s="864"/>
      <c r="CG113" s="864"/>
      <c r="CH113" s="864"/>
      <c r="CI113" s="864"/>
      <c r="CJ113" s="864"/>
      <c r="CK113" s="864"/>
      <c r="CL113" s="864"/>
      <c r="CM113" s="865"/>
      <c r="CP113" s="865"/>
      <c r="CQ113" s="866"/>
      <c r="CR113" s="863"/>
      <c r="CS113" s="865"/>
      <c r="CV113" s="866"/>
      <c r="CW113" s="396"/>
    </row>
    <row r="114" spans="2:101" s="864" customFormat="1" outlineLevel="1" x14ac:dyDescent="0.15">
      <c r="B114" s="396"/>
      <c r="C114" s="396"/>
      <c r="D114" s="396"/>
      <c r="E114" s="396"/>
      <c r="F114" s="396"/>
      <c r="G114" s="396"/>
      <c r="H114" s="396"/>
      <c r="I114" s="396"/>
      <c r="J114" s="396"/>
      <c r="K114" s="396"/>
      <c r="L114" s="396"/>
      <c r="M114" s="396"/>
      <c r="N114" s="396"/>
      <c r="O114" s="396"/>
      <c r="P114" s="396"/>
      <c r="Q114" s="396"/>
      <c r="R114" s="396"/>
      <c r="S114" s="396"/>
      <c r="T114" s="398"/>
      <c r="U114" s="867"/>
      <c r="V114" s="867"/>
      <c r="Z114" s="866"/>
      <c r="AA114" s="867"/>
      <c r="AB114" s="867"/>
      <c r="AD114" s="396"/>
      <c r="AE114" s="396"/>
      <c r="AF114" s="396"/>
      <c r="AG114" s="820" t="s">
        <v>503</v>
      </c>
      <c r="AH114" s="873" t="str">
        <f>AH108</f>
        <v>Pågående</v>
      </c>
      <c r="AI114" s="873"/>
      <c r="AJ114" s="873"/>
      <c r="AK114" s="1096"/>
      <c r="AL114" s="1096"/>
      <c r="AM114" s="1096"/>
      <c r="AN114" s="1096"/>
      <c r="AO114" s="1096"/>
      <c r="AP114" s="1096"/>
      <c r="AQ114" s="1096"/>
      <c r="AR114" s="1096"/>
      <c r="AS114" s="1096"/>
      <c r="AT114" s="1096"/>
      <c r="AU114" s="398"/>
      <c r="AV114" s="396"/>
      <c r="AW114" s="396"/>
      <c r="AX114" s="396"/>
      <c r="AY114" s="396"/>
      <c r="AZ114" s="396"/>
      <c r="BA114" s="396"/>
      <c r="BB114" s="396"/>
      <c r="BC114" s="396"/>
      <c r="BD114" s="396"/>
      <c r="BE114" s="396"/>
      <c r="BF114" s="396"/>
      <c r="BG114" s="396"/>
      <c r="BH114" s="396"/>
      <c r="BI114" s="396"/>
      <c r="BZ114" s="396"/>
      <c r="CA114" s="396"/>
      <c r="CB114" s="396"/>
      <c r="CC114" s="396"/>
      <c r="CD114" s="396"/>
      <c r="CE114" s="396"/>
      <c r="CF114" s="396"/>
      <c r="CG114" s="396"/>
      <c r="CH114" s="396"/>
      <c r="CI114" s="396"/>
      <c r="CJ114" s="396"/>
      <c r="CK114" s="396"/>
      <c r="CL114" s="396"/>
      <c r="CM114" s="398"/>
      <c r="CN114" s="398"/>
      <c r="CO114" s="398"/>
      <c r="CP114" s="398"/>
      <c r="CQ114" s="796"/>
      <c r="CR114" s="868"/>
      <c r="CS114" s="398"/>
      <c r="CT114" s="398"/>
      <c r="CU114" s="398"/>
      <c r="CV114" s="796"/>
    </row>
    <row r="115" spans="2:101" outlineLevel="1" x14ac:dyDescent="0.15">
      <c r="D115" s="864"/>
      <c r="E115" s="864"/>
      <c r="F115" s="864"/>
      <c r="G115" s="864"/>
      <c r="H115" s="864"/>
      <c r="I115" s="864"/>
      <c r="J115" s="864"/>
      <c r="K115" s="864"/>
      <c r="L115" s="864"/>
      <c r="M115" s="864"/>
      <c r="N115" s="864"/>
      <c r="O115" s="864"/>
      <c r="P115" s="864"/>
      <c r="Q115" s="864"/>
      <c r="R115" s="864"/>
      <c r="S115" s="864"/>
      <c r="T115" s="867"/>
      <c r="U115" s="820"/>
      <c r="V115" s="820"/>
      <c r="AA115" s="820"/>
      <c r="AB115" s="820"/>
      <c r="AG115" s="820" t="s">
        <v>503</v>
      </c>
      <c r="AH115" s="416" t="str">
        <f>AH109</f>
        <v>Total</v>
      </c>
      <c r="AI115" s="416" t="s">
        <v>842</v>
      </c>
      <c r="AJ115" s="416"/>
      <c r="AK115" s="929">
        <f>SUM(AK111:AK114)</f>
        <v>0</v>
      </c>
      <c r="AL115" s="929">
        <f t="shared" ref="AL115:AS115" si="332">SUM(AL111:AL114)</f>
        <v>0</v>
      </c>
      <c r="AM115" s="929">
        <f t="shared" si="332"/>
        <v>0</v>
      </c>
      <c r="AN115" s="929">
        <f t="shared" si="332"/>
        <v>0</v>
      </c>
      <c r="AO115" s="929">
        <f t="shared" si="332"/>
        <v>0</v>
      </c>
      <c r="AP115" s="929">
        <f t="shared" si="332"/>
        <v>0</v>
      </c>
      <c r="AQ115" s="929">
        <f t="shared" si="332"/>
        <v>0</v>
      </c>
      <c r="AR115" s="929">
        <f t="shared" si="332"/>
        <v>0</v>
      </c>
      <c r="AS115" s="929">
        <f t="shared" si="332"/>
        <v>0</v>
      </c>
      <c r="AT115" s="929">
        <f>SUM(AT111:AT114)</f>
        <v>0</v>
      </c>
      <c r="AW115" s="864"/>
      <c r="AX115" s="864"/>
      <c r="AY115" s="864"/>
      <c r="AZ115" s="864"/>
      <c r="BA115" s="864"/>
      <c r="BB115" s="864"/>
      <c r="BC115" s="864"/>
      <c r="BD115" s="864"/>
      <c r="BE115" s="864"/>
      <c r="BF115" s="864"/>
      <c r="BG115" s="864"/>
      <c r="BH115" s="864"/>
      <c r="BZ115" s="864"/>
      <c r="CA115" s="864"/>
      <c r="CB115" s="864"/>
      <c r="CC115" s="864"/>
      <c r="CD115" s="864"/>
      <c r="CE115" s="864"/>
      <c r="CF115" s="864"/>
      <c r="CG115" s="864"/>
      <c r="CH115" s="864"/>
      <c r="CI115" s="864"/>
      <c r="CJ115" s="864"/>
      <c r="CK115" s="864"/>
      <c r="CL115" s="864"/>
      <c r="CM115" s="865"/>
      <c r="CP115" s="865"/>
      <c r="CQ115" s="866"/>
      <c r="CR115" s="871"/>
      <c r="CS115" s="865"/>
      <c r="CV115" s="866"/>
      <c r="CW115" s="396"/>
    </row>
    <row r="116" spans="2:101" outlineLevel="1" x14ac:dyDescent="0.15">
      <c r="F116" s="396"/>
      <c r="G116" s="396"/>
      <c r="H116" s="396"/>
      <c r="I116" s="396"/>
      <c r="J116" s="396"/>
      <c r="K116" s="396"/>
      <c r="L116" s="396"/>
      <c r="M116" s="396"/>
      <c r="N116" s="396"/>
      <c r="O116" s="396"/>
      <c r="P116" s="396"/>
      <c r="Q116" s="396"/>
      <c r="R116" s="396"/>
      <c r="S116" s="396"/>
      <c r="T116" s="820"/>
      <c r="U116" s="398"/>
      <c r="V116" s="398"/>
      <c r="AA116" s="398"/>
      <c r="AB116" s="398"/>
      <c r="BJ116" s="864"/>
      <c r="BK116" s="864"/>
      <c r="BL116" s="864"/>
      <c r="BM116" s="864"/>
      <c r="BN116" s="864"/>
      <c r="BO116" s="864"/>
      <c r="BP116" s="864"/>
      <c r="BQ116" s="864"/>
      <c r="BR116" s="864"/>
      <c r="BS116" s="864"/>
      <c r="BT116" s="864"/>
      <c r="BU116" s="864"/>
      <c r="BV116" s="864"/>
      <c r="BW116" s="864"/>
      <c r="BX116" s="864"/>
      <c r="BY116" s="864"/>
      <c r="CQ116" s="796"/>
      <c r="CR116" s="797"/>
      <c r="CV116" s="796"/>
      <c r="CW116" s="396"/>
    </row>
    <row r="117" spans="2:101" outlineLevel="1" x14ac:dyDescent="0.15">
      <c r="F117" s="396"/>
      <c r="G117" s="396"/>
      <c r="H117" s="396"/>
      <c r="I117" s="396"/>
      <c r="J117" s="396"/>
      <c r="K117" s="396"/>
      <c r="L117" s="396"/>
      <c r="M117" s="396"/>
      <c r="N117" s="396"/>
      <c r="O117" s="396"/>
      <c r="P117" s="396"/>
      <c r="Q117" s="396"/>
      <c r="R117" s="396"/>
      <c r="S117" s="396"/>
      <c r="T117" s="398"/>
      <c r="U117" s="398"/>
      <c r="V117" s="398"/>
      <c r="AA117" s="398"/>
      <c r="AB117" s="398"/>
      <c r="AG117" s="820" t="s">
        <v>504</v>
      </c>
      <c r="AH117" s="872" t="str">
        <f>AH105</f>
        <v>IT System</v>
      </c>
      <c r="AI117" s="872" t="s">
        <v>505</v>
      </c>
      <c r="AJ117" s="872"/>
      <c r="AK117" s="211">
        <f>SUM(AK105,AK111)</f>
        <v>23.966496865203762</v>
      </c>
      <c r="AL117" s="211">
        <f t="shared" ref="AL117:AR117" si="333">SUM(AL105,AL111)</f>
        <v>22.977664576802511</v>
      </c>
      <c r="AM117" s="211">
        <f t="shared" si="333"/>
        <v>21.988832288401255</v>
      </c>
      <c r="AN117" s="211">
        <f t="shared" si="333"/>
        <v>21</v>
      </c>
      <c r="AO117" s="211">
        <f t="shared" si="333"/>
        <v>21</v>
      </c>
      <c r="AP117" s="211">
        <f t="shared" si="333"/>
        <v>21</v>
      </c>
      <c r="AQ117" s="211">
        <f t="shared" si="333"/>
        <v>21</v>
      </c>
      <c r="AR117" s="211">
        <f t="shared" si="333"/>
        <v>21</v>
      </c>
      <c r="AS117" s="211">
        <f>SUM(AS105,AS111)</f>
        <v>21.270792643639574</v>
      </c>
      <c r="AT117" s="211">
        <f>SUM(AT105,AT111)</f>
        <v>21.473735515783268</v>
      </c>
      <c r="CQ117" s="796"/>
      <c r="CR117" s="863"/>
      <c r="CV117" s="796"/>
      <c r="CW117" s="396"/>
    </row>
    <row r="118" spans="2:101" outlineLevel="1" x14ac:dyDescent="0.15">
      <c r="F118" s="396"/>
      <c r="G118" s="396"/>
      <c r="H118" s="396"/>
      <c r="I118" s="396"/>
      <c r="J118" s="396"/>
      <c r="K118" s="396"/>
      <c r="L118" s="396"/>
      <c r="M118" s="396"/>
      <c r="N118" s="396"/>
      <c r="O118" s="396"/>
      <c r="P118" s="396"/>
      <c r="Q118" s="396"/>
      <c r="R118" s="396"/>
      <c r="S118" s="396"/>
      <c r="T118" s="398"/>
      <c r="U118" s="398"/>
      <c r="V118" s="398"/>
      <c r="AA118" s="398"/>
      <c r="AB118" s="398"/>
      <c r="AG118" s="820" t="s">
        <v>504</v>
      </c>
      <c r="AH118" s="872" t="str">
        <f>AH106</f>
        <v>Byggnader och Mark</v>
      </c>
      <c r="AI118" s="872" t="s">
        <v>505</v>
      </c>
      <c r="AJ118" s="872"/>
      <c r="AK118" s="211">
        <f t="shared" ref="AK118:AR118" si="334">SUM(AK106,AK112)</f>
        <v>487.87623513659867</v>
      </c>
      <c r="AL118" s="211">
        <f t="shared" si="334"/>
        <v>492.98415675773253</v>
      </c>
      <c r="AM118" s="211">
        <f t="shared" si="334"/>
        <v>498.09207837886629</v>
      </c>
      <c r="AN118" s="211">
        <f t="shared" si="334"/>
        <v>503.20000000000005</v>
      </c>
      <c r="AO118" s="211">
        <f t="shared" si="334"/>
        <v>502.375</v>
      </c>
      <c r="AP118" s="211">
        <f t="shared" si="334"/>
        <v>501.54999999999995</v>
      </c>
      <c r="AQ118" s="211">
        <f t="shared" si="334"/>
        <v>500.72500000000002</v>
      </c>
      <c r="AR118" s="211">
        <f t="shared" si="334"/>
        <v>499.9</v>
      </c>
      <c r="AS118" s="211">
        <f>SUM(AS106,AS112)</f>
        <v>512.76120107500003</v>
      </c>
      <c r="AT118" s="211">
        <f>SUM(AT106,AT112)</f>
        <v>522.48809083000003</v>
      </c>
      <c r="CQ118" s="796"/>
      <c r="CR118" s="863"/>
      <c r="CV118" s="796"/>
      <c r="CW118" s="396"/>
    </row>
    <row r="119" spans="2:101" outlineLevel="1" x14ac:dyDescent="0.15">
      <c r="F119" s="396"/>
      <c r="G119" s="396"/>
      <c r="H119" s="396"/>
      <c r="I119" s="396"/>
      <c r="J119" s="396"/>
      <c r="K119" s="396"/>
      <c r="L119" s="396"/>
      <c r="M119" s="396"/>
      <c r="N119" s="396"/>
      <c r="O119" s="396"/>
      <c r="P119" s="396"/>
      <c r="Q119" s="396"/>
      <c r="R119" s="396"/>
      <c r="S119" s="396"/>
      <c r="T119" s="398"/>
      <c r="U119" s="820"/>
      <c r="V119" s="820"/>
      <c r="AA119" s="820"/>
      <c r="AB119" s="820"/>
      <c r="AG119" s="820" t="s">
        <v>504</v>
      </c>
      <c r="AH119" s="872" t="str">
        <f>AH107</f>
        <v>Maskiner och inventarier</v>
      </c>
      <c r="AI119" s="872" t="s">
        <v>505</v>
      </c>
      <c r="AJ119" s="872"/>
      <c r="AK119" s="211">
        <f t="shared" ref="AK119:AS119" si="335">SUM(AK107,AK113)</f>
        <v>954.13533465635226</v>
      </c>
      <c r="AL119" s="211">
        <f t="shared" si="335"/>
        <v>966.29022310423488</v>
      </c>
      <c r="AM119" s="211">
        <f t="shared" si="335"/>
        <v>978.4451115521174</v>
      </c>
      <c r="AN119" s="211">
        <f t="shared" si="335"/>
        <v>990.6</v>
      </c>
      <c r="AO119" s="211">
        <f t="shared" si="335"/>
        <v>990.85</v>
      </c>
      <c r="AP119" s="211">
        <f t="shared" si="335"/>
        <v>991.1</v>
      </c>
      <c r="AQ119" s="211">
        <f t="shared" si="335"/>
        <v>991.35</v>
      </c>
      <c r="AR119" s="211">
        <f t="shared" si="335"/>
        <v>991.6</v>
      </c>
      <c r="AS119" s="211">
        <f t="shared" si="335"/>
        <v>960.70094790999997</v>
      </c>
      <c r="AT119" s="211">
        <f t="shared" ref="AT119" si="336">SUM(AT107,AT113)</f>
        <v>971.18316309999989</v>
      </c>
      <c r="BI119" s="864"/>
      <c r="CQ119" s="796"/>
      <c r="CR119" s="871"/>
      <c r="CV119" s="796"/>
      <c r="CW119" s="396"/>
    </row>
    <row r="120" spans="2:101" outlineLevel="1" x14ac:dyDescent="0.15">
      <c r="F120" s="396"/>
      <c r="G120" s="396"/>
      <c r="H120" s="396"/>
      <c r="I120" s="396"/>
      <c r="J120" s="396"/>
      <c r="K120" s="396"/>
      <c r="L120" s="396"/>
      <c r="M120" s="396"/>
      <c r="N120" s="396"/>
      <c r="O120" s="396"/>
      <c r="P120" s="396"/>
      <c r="Q120" s="396"/>
      <c r="R120" s="396"/>
      <c r="S120" s="396"/>
      <c r="T120" s="820"/>
      <c r="U120" s="398"/>
      <c r="V120" s="398"/>
      <c r="AA120" s="398"/>
      <c r="AB120" s="398"/>
      <c r="AG120" s="820" t="s">
        <v>504</v>
      </c>
      <c r="AH120" s="873" t="str">
        <f>AH108</f>
        <v>Pågående</v>
      </c>
      <c r="AI120" s="873" t="s">
        <v>505</v>
      </c>
      <c r="AJ120" s="873"/>
      <c r="AK120" s="224">
        <f t="shared" ref="AK120:AR120" si="337">SUM(AK108,AK114)</f>
        <v>19.100000000000001</v>
      </c>
      <c r="AL120" s="224">
        <f t="shared" si="337"/>
        <v>18.5</v>
      </c>
      <c r="AM120" s="224">
        <f t="shared" si="337"/>
        <v>17.899999999999999</v>
      </c>
      <c r="AN120" s="224">
        <f t="shared" si="337"/>
        <v>17.3</v>
      </c>
      <c r="AO120" s="224">
        <f t="shared" si="337"/>
        <v>23.875</v>
      </c>
      <c r="AP120" s="224">
        <f t="shared" si="337"/>
        <v>30.450000000000003</v>
      </c>
      <c r="AQ120" s="224">
        <f t="shared" si="337"/>
        <v>37.025000000000006</v>
      </c>
      <c r="AR120" s="224">
        <f t="shared" si="337"/>
        <v>43.6</v>
      </c>
      <c r="AS120" s="224">
        <f>SUM(AS108,AS114)</f>
        <v>45.124966999999998</v>
      </c>
      <c r="AT120" s="224">
        <f>SUM(AT108,AT114)</f>
        <v>47.029000000000003</v>
      </c>
      <c r="CQ120" s="796"/>
      <c r="CR120" s="863"/>
      <c r="CV120" s="796"/>
      <c r="CW120" s="396"/>
    </row>
    <row r="121" spans="2:101" outlineLevel="1" x14ac:dyDescent="0.15">
      <c r="F121" s="396"/>
      <c r="G121" s="396"/>
      <c r="H121" s="396"/>
      <c r="I121" s="396"/>
      <c r="J121" s="396"/>
      <c r="K121" s="396"/>
      <c r="L121" s="396"/>
      <c r="M121" s="396"/>
      <c r="N121" s="396"/>
      <c r="O121" s="396"/>
      <c r="P121" s="396"/>
      <c r="Q121" s="396"/>
      <c r="R121" s="396"/>
      <c r="S121" s="396"/>
      <c r="T121" s="398"/>
      <c r="U121" s="398"/>
      <c r="V121" s="398"/>
      <c r="AA121" s="398"/>
      <c r="AB121" s="398"/>
      <c r="AG121" s="820" t="s">
        <v>504</v>
      </c>
      <c r="AH121" s="416" t="str">
        <f>AH109</f>
        <v>Total</v>
      </c>
      <c r="AI121" s="416" t="s">
        <v>505</v>
      </c>
      <c r="AJ121" s="416"/>
      <c r="AK121" s="1069">
        <f t="shared" ref="AK121" si="338">SUM(AK117:AK120)</f>
        <v>1485.0780666581545</v>
      </c>
      <c r="AL121" s="1069">
        <f t="shared" ref="AL121" si="339">SUM(AL117:AL120)</f>
        <v>1500.7520444387699</v>
      </c>
      <c r="AM121" s="1069">
        <f t="shared" ref="AM121" si="340">SUM(AM117:AM120)</f>
        <v>1516.426022219385</v>
      </c>
      <c r="AN121" s="1069">
        <f t="shared" ref="AN121" si="341">SUM(AN117:AN120)</f>
        <v>1532.1000000000001</v>
      </c>
      <c r="AO121" s="1069">
        <f t="shared" ref="AO121" si="342">SUM(AO117:AO120)</f>
        <v>1538.1</v>
      </c>
      <c r="AP121" s="1069">
        <f t="shared" ref="AP121" si="343">SUM(AP117:AP120)</f>
        <v>1544.1000000000001</v>
      </c>
      <c r="AQ121" s="1069">
        <f t="shared" ref="AQ121" si="344">SUM(AQ117:AQ120)</f>
        <v>1550.1000000000001</v>
      </c>
      <c r="AR121" s="1069">
        <f t="shared" ref="AR121" si="345">SUM(AR117:AR120)</f>
        <v>1556.1</v>
      </c>
      <c r="AS121" s="1069">
        <f t="shared" ref="AS121:AT121" si="346">SUM(AS117:AS120)</f>
        <v>1539.8579086286395</v>
      </c>
      <c r="AT121" s="1069">
        <f t="shared" si="346"/>
        <v>1562.1739894457833</v>
      </c>
      <c r="BI121" s="864"/>
      <c r="CQ121" s="796"/>
      <c r="CR121" s="863"/>
      <c r="CV121" s="796"/>
      <c r="CW121" s="396"/>
    </row>
    <row r="122" spans="2:101" outlineLevel="1" x14ac:dyDescent="0.15">
      <c r="F122" s="396"/>
      <c r="G122" s="396"/>
      <c r="H122" s="396"/>
      <c r="I122" s="396"/>
      <c r="J122" s="396"/>
      <c r="K122" s="396"/>
      <c r="L122" s="396"/>
      <c r="M122" s="396"/>
      <c r="N122" s="396"/>
      <c r="O122" s="396"/>
      <c r="P122" s="396"/>
      <c r="Q122" s="396"/>
      <c r="R122" s="396"/>
      <c r="S122" s="396"/>
      <c r="T122" s="398"/>
      <c r="U122" s="820"/>
      <c r="V122" s="820"/>
      <c r="AA122" s="820"/>
      <c r="AB122" s="820"/>
      <c r="AD122" s="398"/>
      <c r="AE122" s="398"/>
      <c r="CQ122" s="796"/>
      <c r="CR122" s="871"/>
      <c r="CV122" s="796"/>
      <c r="CW122" s="396"/>
    </row>
    <row r="123" spans="2:101" outlineLevel="1" x14ac:dyDescent="0.15">
      <c r="F123" s="396"/>
      <c r="G123" s="396"/>
      <c r="H123" s="396"/>
      <c r="I123" s="396"/>
      <c r="J123" s="396"/>
      <c r="K123" s="396"/>
      <c r="L123" s="396"/>
      <c r="M123" s="396"/>
      <c r="N123" s="396"/>
      <c r="O123" s="396"/>
      <c r="P123" s="396"/>
      <c r="Q123" s="396"/>
      <c r="R123" s="396"/>
      <c r="S123" s="396"/>
      <c r="T123" s="820"/>
      <c r="U123" s="820"/>
      <c r="V123" s="820"/>
      <c r="AA123" s="820"/>
      <c r="AB123" s="820"/>
      <c r="AD123" s="398"/>
      <c r="AE123" s="398"/>
      <c r="AG123" s="820" t="s">
        <v>506</v>
      </c>
      <c r="AH123" s="872" t="str">
        <f>AH117</f>
        <v>IT System</v>
      </c>
      <c r="AI123" s="872" t="s">
        <v>827</v>
      </c>
      <c r="AJ123" s="872"/>
      <c r="AK123" s="211">
        <f t="shared" ref="AK123:AS123" si="347">AK117-AK87</f>
        <v>11.666496865203762</v>
      </c>
      <c r="AL123" s="211">
        <f t="shared" si="347"/>
        <v>12.07766457680251</v>
      </c>
      <c r="AM123" s="211">
        <f t="shared" si="347"/>
        <v>11.988832288401255</v>
      </c>
      <c r="AN123" s="211">
        <f t="shared" si="347"/>
        <v>11</v>
      </c>
      <c r="AO123" s="211">
        <f t="shared" si="347"/>
        <v>11</v>
      </c>
      <c r="AP123" s="211">
        <f t="shared" si="347"/>
        <v>11</v>
      </c>
      <c r="AQ123" s="211">
        <f t="shared" si="347"/>
        <v>11</v>
      </c>
      <c r="AR123" s="211">
        <f t="shared" si="347"/>
        <v>11</v>
      </c>
      <c r="AS123" s="211">
        <f t="shared" si="347"/>
        <v>11.270792643639574</v>
      </c>
      <c r="AT123" s="211">
        <f t="shared" ref="AT123" si="348">AT117-AT87</f>
        <v>11.473735515783268</v>
      </c>
      <c r="CQ123" s="796"/>
      <c r="CR123" s="797"/>
      <c r="CV123" s="796"/>
      <c r="CW123" s="396"/>
    </row>
    <row r="124" spans="2:101" outlineLevel="1" x14ac:dyDescent="0.15">
      <c r="F124" s="396"/>
      <c r="G124" s="396"/>
      <c r="H124" s="396"/>
      <c r="I124" s="396"/>
      <c r="J124" s="396"/>
      <c r="K124" s="396"/>
      <c r="L124" s="396"/>
      <c r="M124" s="396"/>
      <c r="N124" s="396"/>
      <c r="O124" s="396"/>
      <c r="P124" s="396"/>
      <c r="Q124" s="396"/>
      <c r="R124" s="396"/>
      <c r="S124" s="396"/>
      <c r="T124" s="820"/>
      <c r="W124" s="398"/>
      <c r="X124" s="398"/>
      <c r="Y124" s="398"/>
      <c r="Z124" s="445"/>
      <c r="AC124" s="398"/>
      <c r="AD124" s="820"/>
      <c r="AE124" s="820"/>
      <c r="AG124" s="820" t="s">
        <v>506</v>
      </c>
      <c r="AH124" s="872" t="str">
        <f>AH118</f>
        <v>Byggnader och Mark</v>
      </c>
      <c r="AI124" s="872" t="s">
        <v>827</v>
      </c>
      <c r="AJ124" s="872"/>
      <c r="AK124" s="211">
        <f t="shared" ref="AK124:AS124" si="349">AK118-AK88</f>
        <v>333.46544213659865</v>
      </c>
      <c r="AL124" s="211">
        <f t="shared" si="349"/>
        <v>340.23874975773253</v>
      </c>
      <c r="AM124" s="211">
        <f t="shared" si="349"/>
        <v>346.71064637886627</v>
      </c>
      <c r="AN124" s="211">
        <f t="shared" si="349"/>
        <v>353.46173300000004</v>
      </c>
      <c r="AO124" s="211">
        <f t="shared" si="349"/>
        <v>347.96420662820282</v>
      </c>
      <c r="AP124" s="211">
        <f t="shared" si="349"/>
        <v>348.80459348653886</v>
      </c>
      <c r="AQ124" s="211">
        <f t="shared" si="349"/>
        <v>349.34356764487507</v>
      </c>
      <c r="AR124" s="211">
        <f t="shared" si="349"/>
        <v>350.16173273321124</v>
      </c>
      <c r="AS124" s="211">
        <f t="shared" si="349"/>
        <v>368.11937507499999</v>
      </c>
      <c r="AT124" s="211">
        <f t="shared" ref="AT124" si="350">AT118-AT88</f>
        <v>379.34570283000005</v>
      </c>
      <c r="CQ124" s="796"/>
      <c r="CR124" s="796"/>
      <c r="CV124" s="796"/>
      <c r="CW124" s="396"/>
    </row>
    <row r="125" spans="2:101" outlineLevel="1" x14ac:dyDescent="0.15">
      <c r="W125" s="398"/>
      <c r="X125" s="398"/>
      <c r="Y125" s="398"/>
      <c r="Z125" s="445"/>
      <c r="AC125" s="398"/>
      <c r="AD125" s="820"/>
      <c r="AE125" s="820"/>
      <c r="AG125" s="820" t="s">
        <v>506</v>
      </c>
      <c r="AH125" s="872" t="str">
        <f>AH119</f>
        <v>Maskiner och inventarier</v>
      </c>
      <c r="AI125" s="872" t="s">
        <v>827</v>
      </c>
      <c r="AJ125" s="872"/>
      <c r="AK125" s="211">
        <f t="shared" ref="AK125:AS125" si="351">AK119-AK89</f>
        <v>534.12360365635232</v>
      </c>
      <c r="AL125" s="211">
        <f t="shared" si="351"/>
        <v>546.31810310423486</v>
      </c>
      <c r="AM125" s="211">
        <f t="shared" si="351"/>
        <v>565.86903355211734</v>
      </c>
      <c r="AN125" s="211">
        <f t="shared" si="351"/>
        <v>570.48781099999997</v>
      </c>
      <c r="AO125" s="211">
        <f t="shared" si="351"/>
        <v>577.8382687400001</v>
      </c>
      <c r="AP125" s="211">
        <f t="shared" si="351"/>
        <v>571.12787983049998</v>
      </c>
      <c r="AQ125" s="211">
        <f t="shared" si="351"/>
        <v>577.77392185999997</v>
      </c>
      <c r="AR125" s="211">
        <f t="shared" si="351"/>
        <v>573.48781061349996</v>
      </c>
      <c r="AS125" s="211">
        <f t="shared" si="351"/>
        <v>574.92652791</v>
      </c>
      <c r="AT125" s="211">
        <f>AT119-AT89</f>
        <v>594.98837409999987</v>
      </c>
      <c r="CM125" s="396"/>
      <c r="CN125" s="396"/>
      <c r="CO125" s="396"/>
      <c r="CQ125" s="796"/>
      <c r="CR125" s="796"/>
      <c r="CS125" s="396"/>
      <c r="CT125" s="396"/>
      <c r="CU125" s="396"/>
      <c r="CV125" s="796"/>
      <c r="CW125" s="396"/>
    </row>
    <row r="126" spans="2:101" x14ac:dyDescent="0.15">
      <c r="W126" s="820"/>
      <c r="X126" s="820"/>
      <c r="Y126" s="820"/>
      <c r="Z126" s="431"/>
      <c r="AC126" s="820"/>
      <c r="AG126" s="820" t="s">
        <v>506</v>
      </c>
      <c r="AH126" s="873" t="str">
        <f>AH120</f>
        <v>Pågående</v>
      </c>
      <c r="AI126" s="873" t="s">
        <v>827</v>
      </c>
      <c r="AJ126" s="873"/>
      <c r="AK126" s="224">
        <f t="shared" ref="AK126:AR126" si="352">AK120-AK90</f>
        <v>2.9027380000000029</v>
      </c>
      <c r="AL126" s="224">
        <f t="shared" si="352"/>
        <v>4.5571330000000003</v>
      </c>
      <c r="AM126" s="224">
        <f t="shared" si="352"/>
        <v>-8.0523070000000025</v>
      </c>
      <c r="AN126" s="224">
        <f t="shared" si="352"/>
        <v>3.6049000000001996E-2</v>
      </c>
      <c r="AO126" s="224">
        <f t="shared" si="352"/>
        <v>7.6777378800000022</v>
      </c>
      <c r="AP126" s="224">
        <f t="shared" si="352"/>
        <v>16.507132570000003</v>
      </c>
      <c r="AQ126" s="224">
        <f t="shared" si="352"/>
        <v>11.072692890000006</v>
      </c>
      <c r="AR126" s="224">
        <f t="shared" si="352"/>
        <v>26.33604854</v>
      </c>
      <c r="AS126" s="224">
        <f>AS120-AS90</f>
        <v>0</v>
      </c>
      <c r="AT126" s="224">
        <f t="shared" ref="AT126" si="353">AT120-AT90</f>
        <v>0</v>
      </c>
      <c r="CM126" s="396"/>
      <c r="CN126" s="396"/>
      <c r="CO126" s="396"/>
      <c r="CQ126" s="796"/>
      <c r="CR126" s="796"/>
      <c r="CS126" s="396"/>
      <c r="CT126" s="396"/>
      <c r="CU126" s="396"/>
      <c r="CV126" s="796"/>
      <c r="CW126" s="396"/>
    </row>
    <row r="127" spans="2:101" x14ac:dyDescent="0.15">
      <c r="W127" s="820"/>
      <c r="X127" s="820"/>
      <c r="Y127" s="820"/>
      <c r="Z127" s="431"/>
      <c r="AC127" s="820"/>
      <c r="AG127" s="820" t="s">
        <v>506</v>
      </c>
      <c r="AH127" s="416" t="str">
        <f>AH121</f>
        <v>Total</v>
      </c>
      <c r="AI127" s="416" t="s">
        <v>827</v>
      </c>
      <c r="AJ127" s="416"/>
      <c r="AK127" s="1069">
        <f t="shared" ref="AK127:AT127" si="354">AK121-AK91</f>
        <v>882.15828065815447</v>
      </c>
      <c r="AL127" s="1069">
        <f t="shared" si="354"/>
        <v>903.1916504387699</v>
      </c>
      <c r="AM127" s="1069">
        <f t="shared" si="354"/>
        <v>916.51620521938503</v>
      </c>
      <c r="AN127" s="1069">
        <f t="shared" si="354"/>
        <v>934.98559300000011</v>
      </c>
      <c r="AO127" s="1069">
        <f t="shared" si="354"/>
        <v>944.48021324820274</v>
      </c>
      <c r="AP127" s="1069">
        <f t="shared" si="354"/>
        <v>947.43960588703908</v>
      </c>
      <c r="AQ127" s="1069">
        <f t="shared" si="354"/>
        <v>949.19018239487525</v>
      </c>
      <c r="AR127" s="1069">
        <f t="shared" si="354"/>
        <v>960.98559188671106</v>
      </c>
      <c r="AS127" s="1069">
        <f t="shared" si="354"/>
        <v>954.31669562863954</v>
      </c>
      <c r="AT127" s="1069">
        <f t="shared" si="354"/>
        <v>985.80781244578327</v>
      </c>
      <c r="CM127" s="396"/>
      <c r="CN127" s="396"/>
      <c r="CO127" s="396"/>
      <c r="CQ127" s="796"/>
      <c r="CR127" s="796"/>
      <c r="CS127" s="396"/>
      <c r="CT127" s="396"/>
      <c r="CU127" s="396"/>
      <c r="CV127" s="796"/>
      <c r="CW127" s="396"/>
    </row>
    <row r="128" spans="2:101" x14ac:dyDescent="0.15">
      <c r="CM128" s="396"/>
      <c r="CN128" s="396"/>
      <c r="CO128" s="396"/>
      <c r="CQ128" s="796"/>
      <c r="CR128" s="857"/>
      <c r="CS128" s="396"/>
      <c r="CT128" s="396"/>
      <c r="CU128" s="396"/>
      <c r="CV128" s="796"/>
      <c r="CW128" s="396"/>
    </row>
    <row r="129" spans="6:101" ht="9.75" customHeight="1" x14ac:dyDescent="0.15">
      <c r="AF129" s="398"/>
      <c r="AH129" s="1305" t="s">
        <v>828</v>
      </c>
      <c r="AI129" s="831"/>
      <c r="AJ129" s="831"/>
      <c r="AK129" s="831"/>
      <c r="AL129" s="215">
        <f>AL123-AK123</f>
        <v>0.41116771159874865</v>
      </c>
      <c r="AM129" s="215">
        <f t="shared" ref="AM129:AS129" si="355">AM123-AL123</f>
        <v>-8.88322884012549E-2</v>
      </c>
      <c r="AN129" s="215">
        <f t="shared" si="355"/>
        <v>-0.98883228840125525</v>
      </c>
      <c r="AO129" s="215">
        <f t="shared" si="355"/>
        <v>0</v>
      </c>
      <c r="AP129" s="215">
        <f t="shared" si="355"/>
        <v>0</v>
      </c>
      <c r="AQ129" s="215">
        <f t="shared" si="355"/>
        <v>0</v>
      </c>
      <c r="AR129" s="215">
        <f t="shared" si="355"/>
        <v>0</v>
      </c>
      <c r="AS129" s="215">
        <f t="shared" si="355"/>
        <v>0.27079264363957378</v>
      </c>
      <c r="AT129" s="215">
        <f>AT123-AS123</f>
        <v>0.20294287214369433</v>
      </c>
      <c r="CM129" s="396"/>
      <c r="CN129" s="396"/>
      <c r="CO129" s="396"/>
      <c r="CQ129" s="796"/>
      <c r="CR129" s="796"/>
      <c r="CS129" s="396"/>
      <c r="CT129" s="396"/>
      <c r="CU129" s="396"/>
      <c r="CV129" s="796"/>
      <c r="CW129" s="396"/>
    </row>
    <row r="130" spans="6:101" x14ac:dyDescent="0.15">
      <c r="F130" s="396"/>
      <c r="G130" s="396"/>
      <c r="H130" s="396"/>
      <c r="I130" s="396"/>
      <c r="J130" s="396"/>
      <c r="K130" s="396"/>
      <c r="L130" s="396"/>
      <c r="M130" s="396"/>
      <c r="N130" s="396"/>
      <c r="O130" s="396"/>
      <c r="P130" s="396"/>
      <c r="Q130" s="396"/>
      <c r="R130" s="396"/>
      <c r="S130" s="396"/>
      <c r="AF130" s="398"/>
      <c r="AH130" s="1305" t="s">
        <v>828</v>
      </c>
      <c r="AI130" s="831"/>
      <c r="AJ130" s="831"/>
      <c r="AK130" s="831"/>
      <c r="AL130" s="215">
        <f t="shared" ref="AL130:AT134" si="356">AL124-AK124</f>
        <v>6.7733076211338812</v>
      </c>
      <c r="AM130" s="215">
        <f t="shared" si="356"/>
        <v>6.4718966211337374</v>
      </c>
      <c r="AN130" s="215">
        <f t="shared" si="356"/>
        <v>6.7510866211337657</v>
      </c>
      <c r="AO130" s="215">
        <f t="shared" si="356"/>
        <v>-5.4975263717972211</v>
      </c>
      <c r="AP130" s="215">
        <f t="shared" si="356"/>
        <v>0.84038685833604632</v>
      </c>
      <c r="AQ130" s="215">
        <f t="shared" si="356"/>
        <v>0.53897415833620244</v>
      </c>
      <c r="AR130" s="215">
        <f t="shared" si="356"/>
        <v>0.81816508833617263</v>
      </c>
      <c r="AS130" s="215">
        <f>AS124-AR124</f>
        <v>17.957642341788755</v>
      </c>
      <c r="AT130" s="215">
        <f>AT124-AS124</f>
        <v>11.226327755000057</v>
      </c>
      <c r="CM130" s="396"/>
      <c r="CN130" s="396"/>
      <c r="CO130" s="396"/>
      <c r="CP130" s="396"/>
      <c r="CQ130" s="796"/>
      <c r="CR130" s="796"/>
      <c r="CS130" s="396"/>
      <c r="CT130" s="396"/>
      <c r="CU130" s="396"/>
      <c r="CV130" s="796"/>
      <c r="CW130" s="396"/>
    </row>
    <row r="131" spans="6:101" x14ac:dyDescent="0.15">
      <c r="F131" s="396"/>
      <c r="G131" s="396"/>
      <c r="H131" s="396"/>
      <c r="I131" s="396"/>
      <c r="J131" s="396"/>
      <c r="K131" s="396"/>
      <c r="L131" s="396"/>
      <c r="M131" s="396"/>
      <c r="N131" s="396"/>
      <c r="O131" s="396"/>
      <c r="P131" s="396"/>
      <c r="Q131" s="396"/>
      <c r="R131" s="396"/>
      <c r="S131" s="396"/>
      <c r="AF131" s="820"/>
      <c r="AH131" s="1305" t="s">
        <v>828</v>
      </c>
      <c r="AI131" s="831"/>
      <c r="AJ131" s="831"/>
      <c r="AK131" s="831"/>
      <c r="AL131" s="215">
        <f t="shared" si="356"/>
        <v>12.194499447882549</v>
      </c>
      <c r="AM131" s="215">
        <f t="shared" si="356"/>
        <v>19.550930447882479</v>
      </c>
      <c r="AN131" s="215">
        <f t="shared" si="356"/>
        <v>4.6187774478826213</v>
      </c>
      <c r="AO131" s="215">
        <f t="shared" si="356"/>
        <v>7.3504577400001381</v>
      </c>
      <c r="AP131" s="215">
        <f t="shared" si="356"/>
        <v>-6.710388909500125</v>
      </c>
      <c r="AQ131" s="215">
        <f t="shared" si="356"/>
        <v>6.6460420294999949</v>
      </c>
      <c r="AR131" s="215">
        <f t="shared" si="356"/>
        <v>-4.2861112465000133</v>
      </c>
      <c r="AS131" s="215">
        <f t="shared" si="356"/>
        <v>1.4387172965000445</v>
      </c>
      <c r="AT131" s="215">
        <f t="shared" si="356"/>
        <v>20.061846189999869</v>
      </c>
      <c r="CM131" s="396"/>
      <c r="CN131" s="396"/>
      <c r="CO131" s="396"/>
      <c r="CP131" s="396"/>
      <c r="CR131" s="796"/>
      <c r="CS131" s="396"/>
      <c r="CT131" s="396"/>
      <c r="CU131" s="396"/>
      <c r="CW131" s="396"/>
    </row>
    <row r="132" spans="6:101" x14ac:dyDescent="0.15">
      <c r="F132" s="396"/>
      <c r="G132" s="396"/>
      <c r="H132" s="396"/>
      <c r="I132" s="396"/>
      <c r="J132" s="396"/>
      <c r="K132" s="396"/>
      <c r="L132" s="396"/>
      <c r="M132" s="396"/>
      <c r="N132" s="396"/>
      <c r="O132" s="396"/>
      <c r="P132" s="396"/>
      <c r="Q132" s="396"/>
      <c r="R132" s="396"/>
      <c r="S132" s="396"/>
      <c r="AF132" s="820"/>
      <c r="AH132" s="1305" t="s">
        <v>828</v>
      </c>
      <c r="AI132" s="831"/>
      <c r="AJ132" s="831"/>
      <c r="AK132" s="831"/>
      <c r="AL132" s="215">
        <f t="shared" si="356"/>
        <v>1.6543949999999974</v>
      </c>
      <c r="AM132" s="215">
        <f t="shared" si="356"/>
        <v>-12.609440000000003</v>
      </c>
      <c r="AN132" s="215">
        <f t="shared" si="356"/>
        <v>8.0883560000000045</v>
      </c>
      <c r="AO132" s="215">
        <f t="shared" si="356"/>
        <v>7.6416888800000002</v>
      </c>
      <c r="AP132" s="215">
        <f t="shared" si="356"/>
        <v>8.8293946900000009</v>
      </c>
      <c r="AQ132" s="215">
        <f t="shared" si="356"/>
        <v>-5.434439679999997</v>
      </c>
      <c r="AR132" s="215">
        <f t="shared" si="356"/>
        <v>15.263355649999994</v>
      </c>
      <c r="AS132" s="215">
        <f t="shared" si="356"/>
        <v>-26.33604854</v>
      </c>
      <c r="AT132" s="215">
        <f>AT126-AS126</f>
        <v>0</v>
      </c>
      <c r="CM132" s="396"/>
      <c r="CN132" s="396"/>
      <c r="CO132" s="396"/>
      <c r="CP132" s="396"/>
      <c r="CS132" s="396"/>
      <c r="CT132" s="396"/>
      <c r="CU132" s="396"/>
      <c r="CW132" s="396"/>
    </row>
    <row r="133" spans="6:101" x14ac:dyDescent="0.15">
      <c r="F133" s="396"/>
      <c r="G133" s="396"/>
      <c r="H133" s="396"/>
      <c r="I133" s="396"/>
      <c r="J133" s="396"/>
      <c r="K133" s="396"/>
      <c r="L133" s="396"/>
      <c r="M133" s="396"/>
      <c r="N133" s="396"/>
      <c r="O133" s="396"/>
      <c r="P133" s="396"/>
      <c r="Q133" s="396"/>
      <c r="R133" s="396"/>
      <c r="S133" s="396"/>
      <c r="AH133" s="1305" t="s">
        <v>828</v>
      </c>
      <c r="AI133" s="831"/>
      <c r="AJ133" s="831"/>
      <c r="AK133" s="831"/>
      <c r="AL133" s="215">
        <f t="shared" si="356"/>
        <v>21.03336978061543</v>
      </c>
      <c r="AM133" s="215">
        <f t="shared" si="356"/>
        <v>13.324554780615131</v>
      </c>
      <c r="AN133" s="215">
        <f t="shared" si="356"/>
        <v>18.469387780615079</v>
      </c>
      <c r="AO133" s="215">
        <f t="shared" si="356"/>
        <v>9.4946202482026365</v>
      </c>
      <c r="AP133" s="215">
        <f t="shared" si="356"/>
        <v>2.9593926388363343</v>
      </c>
      <c r="AQ133" s="215">
        <f t="shared" si="356"/>
        <v>1.7505765078361719</v>
      </c>
      <c r="AR133" s="215">
        <f t="shared" si="356"/>
        <v>11.795409491835812</v>
      </c>
      <c r="AS133" s="215">
        <f t="shared" si="356"/>
        <v>-6.668896258071527</v>
      </c>
      <c r="AT133" s="215">
        <f>AT127-AS127</f>
        <v>31.491116817143734</v>
      </c>
      <c r="CM133" s="396"/>
      <c r="CN133" s="396"/>
      <c r="CO133" s="396"/>
      <c r="CP133" s="396"/>
      <c r="CS133" s="396"/>
      <c r="CT133" s="396"/>
      <c r="CU133" s="396"/>
      <c r="CW133" s="396"/>
    </row>
    <row r="134" spans="6:101" x14ac:dyDescent="0.15">
      <c r="F134" s="396"/>
      <c r="G134" s="396"/>
      <c r="H134" s="396"/>
      <c r="I134" s="396"/>
      <c r="J134" s="396"/>
      <c r="K134" s="396"/>
      <c r="L134" s="396"/>
      <c r="M134" s="396"/>
      <c r="N134" s="396"/>
      <c r="O134" s="396"/>
      <c r="P134" s="396"/>
      <c r="Q134" s="396"/>
      <c r="R134" s="396"/>
      <c r="S134" s="396"/>
      <c r="AL134" s="888">
        <f t="shared" si="356"/>
        <v>0</v>
      </c>
      <c r="AM134" s="888">
        <f t="shared" si="356"/>
        <v>0</v>
      </c>
      <c r="AN134" s="888">
        <f t="shared" si="356"/>
        <v>0</v>
      </c>
      <c r="AO134" s="888">
        <f t="shared" si="356"/>
        <v>0</v>
      </c>
      <c r="AP134" s="888">
        <f t="shared" si="356"/>
        <v>0</v>
      </c>
      <c r="AQ134" s="888">
        <f t="shared" si="356"/>
        <v>0</v>
      </c>
      <c r="AR134" s="888">
        <f t="shared" si="356"/>
        <v>0</v>
      </c>
      <c r="AS134" s="888">
        <f t="shared" si="356"/>
        <v>0</v>
      </c>
      <c r="AT134" s="888"/>
      <c r="CM134" s="396"/>
      <c r="CN134" s="396"/>
      <c r="CO134" s="396"/>
      <c r="CP134" s="396"/>
      <c r="CS134" s="396"/>
      <c r="CT134" s="396"/>
      <c r="CU134" s="396"/>
      <c r="CW134" s="396"/>
    </row>
    <row r="135" spans="6:101" x14ac:dyDescent="0.15">
      <c r="F135" s="396"/>
      <c r="G135" s="396"/>
      <c r="H135" s="396"/>
      <c r="I135" s="396"/>
      <c r="J135" s="396"/>
      <c r="K135" s="396"/>
      <c r="L135" s="396"/>
      <c r="M135" s="396"/>
      <c r="N135" s="396"/>
      <c r="O135" s="396"/>
      <c r="P135" s="396"/>
      <c r="Q135" s="396"/>
      <c r="R135" s="396"/>
      <c r="S135" s="396"/>
      <c r="CM135" s="396"/>
      <c r="CN135" s="396"/>
      <c r="CO135" s="396"/>
      <c r="CP135" s="396"/>
      <c r="CS135" s="396"/>
      <c r="CT135" s="396"/>
      <c r="CU135" s="396"/>
      <c r="CW135" s="396"/>
    </row>
    <row r="136" spans="6:101" x14ac:dyDescent="0.15">
      <c r="F136" s="396"/>
      <c r="G136" s="396"/>
      <c r="H136" s="396"/>
      <c r="I136" s="396"/>
      <c r="J136" s="396"/>
      <c r="K136" s="396"/>
      <c r="L136" s="396"/>
      <c r="M136" s="396"/>
      <c r="N136" s="396"/>
      <c r="O136" s="396"/>
      <c r="P136" s="396"/>
      <c r="Q136" s="396"/>
      <c r="R136" s="396"/>
      <c r="S136" s="396"/>
      <c r="AH136" s="401" t="s">
        <v>507</v>
      </c>
      <c r="CM136" s="396"/>
      <c r="CN136" s="396"/>
      <c r="CO136" s="396"/>
      <c r="CP136" s="396"/>
      <c r="CS136" s="396"/>
      <c r="CT136" s="396"/>
      <c r="CU136" s="396"/>
      <c r="CW136" s="396"/>
    </row>
    <row r="137" spans="6:101" x14ac:dyDescent="0.15">
      <c r="F137" s="396"/>
      <c r="G137" s="396"/>
      <c r="H137" s="396"/>
      <c r="I137" s="396"/>
      <c r="J137" s="396"/>
      <c r="K137" s="396"/>
      <c r="L137" s="396"/>
      <c r="M137" s="396"/>
      <c r="N137" s="396"/>
      <c r="O137" s="396"/>
      <c r="P137" s="396"/>
      <c r="Q137" s="396"/>
      <c r="R137" s="396"/>
      <c r="S137" s="396"/>
      <c r="AH137" s="802"/>
      <c r="AI137" s="1127"/>
      <c r="AJ137" s="1127"/>
      <c r="AK137" s="1124">
        <f>AK$86</f>
        <v>2403</v>
      </c>
      <c r="AL137" s="1124">
        <f t="shared" ref="AL137:AT137" si="357">AL$86</f>
        <v>2406</v>
      </c>
      <c r="AM137" s="1124">
        <f t="shared" si="357"/>
        <v>2409</v>
      </c>
      <c r="AN137" s="1124">
        <f t="shared" si="357"/>
        <v>2412</v>
      </c>
      <c r="AO137" s="1124">
        <f t="shared" si="357"/>
        <v>2503</v>
      </c>
      <c r="AP137" s="1124">
        <f t="shared" si="357"/>
        <v>2506</v>
      </c>
      <c r="AQ137" s="1124">
        <f t="shared" si="357"/>
        <v>2509</v>
      </c>
      <c r="AR137" s="1124">
        <f t="shared" si="357"/>
        <v>2512</v>
      </c>
      <c r="AS137" s="1124">
        <f t="shared" si="357"/>
        <v>2603</v>
      </c>
      <c r="AT137" s="1124">
        <f t="shared" si="357"/>
        <v>2606</v>
      </c>
      <c r="AW137" s="398"/>
      <c r="AX137" s="398"/>
      <c r="AY137" s="398"/>
      <c r="AZ137" s="398"/>
      <c r="BA137" s="398"/>
      <c r="BB137" s="398"/>
      <c r="BC137" s="398"/>
      <c r="BD137" s="398"/>
      <c r="BE137" s="398"/>
      <c r="BF137" s="398"/>
      <c r="BG137" s="398"/>
      <c r="BH137" s="398"/>
      <c r="CM137" s="396"/>
      <c r="CN137" s="396"/>
      <c r="CO137" s="396"/>
      <c r="CP137" s="396"/>
      <c r="CS137" s="396"/>
      <c r="CT137" s="396"/>
      <c r="CU137" s="396"/>
      <c r="CW137" s="396"/>
    </row>
    <row r="138" spans="6:101" x14ac:dyDescent="0.15">
      <c r="F138" s="396"/>
      <c r="G138" s="396"/>
      <c r="H138" s="396"/>
      <c r="I138" s="396"/>
      <c r="J138" s="396"/>
      <c r="K138" s="396"/>
      <c r="L138" s="396"/>
      <c r="M138" s="396"/>
      <c r="N138" s="396"/>
      <c r="O138" s="396"/>
      <c r="P138" s="396"/>
      <c r="Q138" s="396"/>
      <c r="R138" s="396"/>
      <c r="S138" s="396"/>
      <c r="AH138" s="425" t="s">
        <v>508</v>
      </c>
      <c r="AI138" s="425"/>
      <c r="AJ138" s="425"/>
      <c r="AK138" s="218">
        <f>SUM(AK14:AK15,AK12)-SUM(H14:H15,H12)</f>
        <v>882.15828065815458</v>
      </c>
      <c r="AL138" s="218">
        <f t="shared" ref="AL138:AT138" si="358">SUM(AL14:AL15,AL12)-SUM(I14:I15,I12)</f>
        <v>903.1916504387699</v>
      </c>
      <c r="AM138" s="218">
        <f t="shared" si="358"/>
        <v>916.5162052193848</v>
      </c>
      <c r="AN138" s="218">
        <f t="shared" si="358"/>
        <v>934.98559299999988</v>
      </c>
      <c r="AO138" s="218">
        <f t="shared" si="358"/>
        <v>944.48021324820274</v>
      </c>
      <c r="AP138" s="218">
        <f t="shared" si="358"/>
        <v>947.43960588703885</v>
      </c>
      <c r="AQ138" s="218">
        <f t="shared" si="358"/>
        <v>949.19018239487502</v>
      </c>
      <c r="AR138" s="218">
        <f t="shared" si="358"/>
        <v>960.98559188671118</v>
      </c>
      <c r="AS138" s="218">
        <f t="shared" si="358"/>
        <v>954.31669562863942</v>
      </c>
      <c r="AT138" s="218">
        <f t="shared" si="358"/>
        <v>985.80781244578327</v>
      </c>
      <c r="AW138" s="398"/>
      <c r="AX138" s="398"/>
      <c r="AY138" s="398"/>
      <c r="AZ138" s="398"/>
      <c r="BA138" s="398"/>
      <c r="BB138" s="398"/>
      <c r="BC138" s="398"/>
      <c r="BD138" s="398"/>
      <c r="BE138" s="398"/>
      <c r="BF138" s="398"/>
      <c r="BG138" s="398"/>
      <c r="BH138" s="398"/>
      <c r="CM138" s="396"/>
      <c r="CN138" s="396"/>
      <c r="CO138" s="396"/>
      <c r="CP138" s="396"/>
      <c r="CS138" s="396"/>
      <c r="CT138" s="396"/>
      <c r="CU138" s="396"/>
      <c r="CW138" s="396"/>
    </row>
    <row r="139" spans="6:101" x14ac:dyDescent="0.15">
      <c r="F139" s="396"/>
      <c r="G139" s="396"/>
      <c r="H139" s="396"/>
      <c r="I139" s="396"/>
      <c r="J139" s="396"/>
      <c r="K139" s="396"/>
      <c r="L139" s="396"/>
      <c r="M139" s="396"/>
      <c r="N139" s="396"/>
      <c r="O139" s="396"/>
      <c r="P139" s="396"/>
      <c r="Q139" s="396"/>
      <c r="R139" s="396"/>
      <c r="S139" s="396"/>
      <c r="AH139" s="847" t="s">
        <v>181</v>
      </c>
      <c r="AI139" s="847"/>
      <c r="AJ139" s="847"/>
      <c r="AK139" s="1379">
        <f>AK138-AK127</f>
        <v>0</v>
      </c>
      <c r="AL139" s="1379">
        <f t="shared" ref="AL139:AT139" si="359">AL138-AL127</f>
        <v>0</v>
      </c>
      <c r="AM139" s="1379">
        <f t="shared" si="359"/>
        <v>0</v>
      </c>
      <c r="AN139" s="1379">
        <f t="shared" si="359"/>
        <v>0</v>
      </c>
      <c r="AO139" s="1379">
        <f t="shared" si="359"/>
        <v>0</v>
      </c>
      <c r="AP139" s="1379">
        <f t="shared" si="359"/>
        <v>0</v>
      </c>
      <c r="AQ139" s="1379">
        <f t="shared" si="359"/>
        <v>0</v>
      </c>
      <c r="AR139" s="1379">
        <f t="shared" si="359"/>
        <v>0</v>
      </c>
      <c r="AS139" s="1379">
        <f t="shared" si="359"/>
        <v>0</v>
      </c>
      <c r="AT139" s="1379">
        <f t="shared" si="359"/>
        <v>0</v>
      </c>
      <c r="AW139" s="398"/>
      <c r="AX139" s="398"/>
      <c r="AY139" s="398"/>
      <c r="AZ139" s="398"/>
      <c r="BA139" s="398"/>
      <c r="BB139" s="398"/>
      <c r="BC139" s="398"/>
      <c r="BD139" s="398"/>
      <c r="BE139" s="398"/>
      <c r="BF139" s="398"/>
      <c r="BG139" s="398"/>
      <c r="BH139" s="398"/>
      <c r="CM139" s="396"/>
      <c r="CN139" s="396"/>
      <c r="CO139" s="396"/>
      <c r="CP139" s="396"/>
      <c r="CS139" s="396"/>
      <c r="CT139" s="396"/>
      <c r="CU139" s="396"/>
      <c r="CW139" s="396"/>
    </row>
    <row r="140" spans="6:101" x14ac:dyDescent="0.15">
      <c r="F140" s="396"/>
      <c r="G140" s="396"/>
      <c r="H140" s="396"/>
      <c r="I140" s="396"/>
      <c r="J140" s="396"/>
      <c r="K140" s="396"/>
      <c r="L140" s="396"/>
      <c r="M140" s="396"/>
      <c r="N140" s="396"/>
      <c r="O140" s="396"/>
      <c r="P140" s="396"/>
      <c r="Q140" s="396"/>
      <c r="R140" s="396"/>
      <c r="S140" s="396"/>
      <c r="AD140" s="864"/>
      <c r="AE140" s="864"/>
      <c r="AU140" s="396"/>
      <c r="CM140" s="396"/>
      <c r="CN140" s="396"/>
      <c r="CO140" s="396"/>
      <c r="CP140" s="396"/>
      <c r="CS140" s="396"/>
      <c r="CT140" s="396"/>
      <c r="CU140" s="396"/>
      <c r="CW140" s="396"/>
    </row>
    <row r="141" spans="6:101" x14ac:dyDescent="0.15">
      <c r="F141" s="396"/>
      <c r="G141" s="396"/>
      <c r="H141" s="396"/>
      <c r="I141" s="396"/>
      <c r="J141" s="396"/>
      <c r="K141" s="396"/>
      <c r="L141" s="396"/>
      <c r="M141" s="396"/>
      <c r="N141" s="396"/>
      <c r="O141" s="396"/>
      <c r="P141" s="396"/>
      <c r="Q141" s="396"/>
      <c r="R141" s="396"/>
      <c r="S141" s="396"/>
      <c r="AD141" s="864"/>
      <c r="AE141" s="864"/>
      <c r="AH141" s="426" t="s">
        <v>509</v>
      </c>
      <c r="AI141" s="426"/>
      <c r="AJ141" s="426"/>
      <c r="AK141" s="1790">
        <v>0.79400000000000004</v>
      </c>
      <c r="AL141" s="1790">
        <v>0.79400000000000004</v>
      </c>
      <c r="AM141" s="1790">
        <v>0.79400000000000004</v>
      </c>
      <c r="AN141" s="1790">
        <v>0.79400000000000004</v>
      </c>
      <c r="AO141" s="1790">
        <v>0.79400000000000004</v>
      </c>
      <c r="AP141" s="1790">
        <v>0.79400000000000004</v>
      </c>
      <c r="AQ141" s="1790">
        <v>0.79400000000000004</v>
      </c>
      <c r="AR141" s="1790">
        <v>0.79400000000000004</v>
      </c>
      <c r="AS141" s="1790">
        <v>0.79400000000000004</v>
      </c>
      <c r="AT141" s="1790">
        <v>0.79400000000000004</v>
      </c>
      <c r="AW141" s="398"/>
      <c r="AX141" s="398"/>
      <c r="AY141" s="398"/>
      <c r="AZ141" s="398"/>
      <c r="BA141" s="398"/>
      <c r="BB141" s="398"/>
      <c r="BC141" s="398"/>
      <c r="BD141" s="398"/>
      <c r="BE141" s="398"/>
      <c r="BF141" s="398"/>
      <c r="BG141" s="398"/>
      <c r="BH141" s="398"/>
      <c r="CM141" s="396"/>
      <c r="CN141" s="396"/>
      <c r="CO141" s="396"/>
      <c r="CP141" s="396"/>
      <c r="CS141" s="396"/>
      <c r="CT141" s="396"/>
      <c r="CU141" s="396"/>
      <c r="CW141" s="396"/>
    </row>
    <row r="142" spans="6:101" x14ac:dyDescent="0.15">
      <c r="F142" s="396"/>
      <c r="G142" s="396"/>
      <c r="H142" s="396"/>
      <c r="I142" s="396"/>
      <c r="J142" s="396"/>
      <c r="K142" s="396"/>
      <c r="L142" s="396"/>
      <c r="M142" s="396"/>
      <c r="N142" s="396"/>
      <c r="O142" s="396"/>
      <c r="P142" s="396"/>
      <c r="Q142" s="396"/>
      <c r="R142" s="396"/>
      <c r="S142" s="396"/>
      <c r="W142" s="864"/>
      <c r="X142" s="864"/>
      <c r="Y142" s="864"/>
      <c r="Z142" s="866"/>
      <c r="AC142" s="864"/>
      <c r="AH142" s="426" t="s">
        <v>510</v>
      </c>
      <c r="AI142" s="426"/>
      <c r="AJ142" s="426"/>
      <c r="AK142" s="1790">
        <v>0.20599999999999999</v>
      </c>
      <c r="AL142" s="1790">
        <v>0.20599999999999999</v>
      </c>
      <c r="AM142" s="1790">
        <v>0.20599999999999999</v>
      </c>
      <c r="AN142" s="1790">
        <v>0.20599999999999999</v>
      </c>
      <c r="AO142" s="1790">
        <v>0.20599999999999999</v>
      </c>
      <c r="AP142" s="1790">
        <v>0.20599999999999999</v>
      </c>
      <c r="AQ142" s="1790">
        <v>0.20599999999999999</v>
      </c>
      <c r="AR142" s="1790">
        <v>0.20599999999999999</v>
      </c>
      <c r="AS142" s="1790">
        <v>0.20599999999999999</v>
      </c>
      <c r="AT142" s="1790">
        <v>0.20599999999999999</v>
      </c>
      <c r="AW142" s="398"/>
      <c r="AX142" s="398"/>
      <c r="AY142" s="398"/>
      <c r="AZ142" s="398"/>
      <c r="BA142" s="398"/>
      <c r="BB142" s="398"/>
      <c r="BC142" s="398"/>
      <c r="BD142" s="398"/>
      <c r="BE142" s="398"/>
      <c r="BF142" s="398"/>
      <c r="BG142" s="398"/>
      <c r="BH142" s="398"/>
      <c r="CM142" s="396"/>
      <c r="CN142" s="396"/>
      <c r="CO142" s="396"/>
      <c r="CP142" s="396"/>
      <c r="CS142" s="396"/>
      <c r="CT142" s="396"/>
      <c r="CU142" s="396"/>
      <c r="CW142" s="396"/>
    </row>
    <row r="143" spans="6:101" x14ac:dyDescent="0.15">
      <c r="F143" s="396"/>
      <c r="G143" s="396"/>
      <c r="H143" s="396"/>
      <c r="I143" s="396"/>
      <c r="J143" s="396"/>
      <c r="K143" s="396"/>
      <c r="L143" s="396"/>
      <c r="M143" s="396"/>
      <c r="N143" s="396"/>
      <c r="O143" s="396"/>
      <c r="P143" s="396"/>
      <c r="Q143" s="396"/>
      <c r="R143" s="396"/>
      <c r="S143" s="396"/>
      <c r="W143" s="864"/>
      <c r="X143" s="864"/>
      <c r="Y143" s="864"/>
      <c r="Z143" s="866"/>
      <c r="AC143" s="864"/>
      <c r="AH143" s="428" t="s">
        <v>360</v>
      </c>
      <c r="AI143" s="428"/>
      <c r="AJ143" s="428"/>
      <c r="AK143" s="1791">
        <f>AK142+AK141</f>
        <v>1</v>
      </c>
      <c r="AL143" s="1791">
        <f t="shared" ref="AL143:AR143" si="360">AL142+AL141</f>
        <v>1</v>
      </c>
      <c r="AM143" s="1791">
        <f t="shared" si="360"/>
        <v>1</v>
      </c>
      <c r="AN143" s="1791">
        <f t="shared" si="360"/>
        <v>1</v>
      </c>
      <c r="AO143" s="1791">
        <f t="shared" si="360"/>
        <v>1</v>
      </c>
      <c r="AP143" s="1791">
        <f t="shared" si="360"/>
        <v>1</v>
      </c>
      <c r="AQ143" s="1791">
        <f t="shared" si="360"/>
        <v>1</v>
      </c>
      <c r="AR143" s="1791">
        <f t="shared" si="360"/>
        <v>1</v>
      </c>
      <c r="AS143" s="1791">
        <f t="shared" ref="AS143:AT143" si="361">AS142+AS141</f>
        <v>1</v>
      </c>
      <c r="AT143" s="1791">
        <f t="shared" si="361"/>
        <v>1</v>
      </c>
      <c r="AV143" s="398"/>
      <c r="AW143" s="398"/>
      <c r="AX143" s="398"/>
      <c r="AY143" s="398"/>
      <c r="AZ143" s="398"/>
      <c r="BA143" s="398"/>
      <c r="BB143" s="398"/>
      <c r="BC143" s="398"/>
      <c r="BD143" s="398"/>
      <c r="BE143" s="398"/>
      <c r="BF143" s="398"/>
      <c r="BG143" s="398"/>
      <c r="BH143" s="398"/>
      <c r="CM143" s="396"/>
      <c r="CN143" s="396"/>
      <c r="CO143" s="396"/>
      <c r="CP143" s="396"/>
      <c r="CS143" s="396"/>
      <c r="CT143" s="396"/>
      <c r="CU143" s="396"/>
      <c r="CW143" s="396"/>
    </row>
    <row r="144" spans="6:101" x14ac:dyDescent="0.15">
      <c r="F144" s="396"/>
      <c r="G144" s="396"/>
      <c r="H144" s="396"/>
      <c r="I144" s="396"/>
      <c r="J144" s="396"/>
      <c r="K144" s="396"/>
      <c r="L144" s="396"/>
      <c r="M144" s="396"/>
      <c r="N144" s="396"/>
      <c r="O144" s="396"/>
      <c r="P144" s="396"/>
      <c r="Q144" s="396"/>
      <c r="R144" s="396"/>
      <c r="S144" s="396"/>
      <c r="AH144" s="398"/>
      <c r="AI144" s="398"/>
      <c r="AJ144" s="398"/>
      <c r="AK144" s="962"/>
      <c r="AL144" s="962"/>
      <c r="AM144" s="962"/>
      <c r="AN144" s="962"/>
      <c r="AO144" s="962"/>
      <c r="AP144" s="962"/>
      <c r="AQ144" s="962"/>
      <c r="AR144" s="962"/>
      <c r="AS144" s="962"/>
      <c r="AT144" s="962"/>
      <c r="AV144" s="398"/>
      <c r="AW144" s="422"/>
      <c r="AX144" s="422"/>
      <c r="AY144" s="214" t="e">
        <f>#REF!</f>
        <v>#REF!</v>
      </c>
      <c r="AZ144" s="214" t="e">
        <f>#REF!</f>
        <v>#REF!</v>
      </c>
      <c r="BA144" s="214" t="e">
        <f>#REF!</f>
        <v>#REF!</v>
      </c>
      <c r="BB144" s="214" t="e">
        <f>#REF!</f>
        <v>#REF!</v>
      </c>
      <c r="BC144" s="214" t="e">
        <f>#REF!</f>
        <v>#REF!</v>
      </c>
      <c r="BD144" s="214" t="e">
        <f>#REF!</f>
        <v>#REF!</v>
      </c>
      <c r="BE144" s="214" t="e">
        <f>#REF!</f>
        <v>#REF!</v>
      </c>
      <c r="BF144" s="214" t="e">
        <f>#REF!</f>
        <v>#REF!</v>
      </c>
      <c r="BG144" s="214" t="e">
        <f>#REF!</f>
        <v>#REF!</v>
      </c>
      <c r="BH144" s="962"/>
      <c r="CM144" s="396"/>
      <c r="CN144" s="396"/>
      <c r="CO144" s="396"/>
      <c r="CP144" s="396"/>
      <c r="CS144" s="396"/>
      <c r="CT144" s="396"/>
      <c r="CU144" s="396"/>
      <c r="CW144" s="396"/>
    </row>
    <row r="145" spans="6:101" x14ac:dyDescent="0.15">
      <c r="F145" s="396"/>
      <c r="G145" s="396"/>
      <c r="H145" s="396"/>
      <c r="I145" s="396"/>
      <c r="J145" s="396"/>
      <c r="K145" s="396"/>
      <c r="L145" s="396"/>
      <c r="M145" s="396"/>
      <c r="N145" s="396"/>
      <c r="O145" s="396"/>
      <c r="P145" s="396"/>
      <c r="Q145" s="396"/>
      <c r="R145" s="396"/>
      <c r="S145" s="396"/>
      <c r="AH145" s="849" t="str">
        <f>AH141</f>
        <v>EK-del</v>
      </c>
      <c r="AI145" s="849"/>
      <c r="AJ145" s="849"/>
      <c r="AK145" s="211">
        <f t="shared" ref="AK145:AT145" si="362">AK$138*AK141</f>
        <v>700.43367484257476</v>
      </c>
      <c r="AL145" s="211">
        <f t="shared" si="362"/>
        <v>717.13417044838332</v>
      </c>
      <c r="AM145" s="211">
        <f t="shared" si="362"/>
        <v>727.71386694419152</v>
      </c>
      <c r="AN145" s="211">
        <f t="shared" si="362"/>
        <v>742.37856084199996</v>
      </c>
      <c r="AO145" s="211">
        <f t="shared" si="362"/>
        <v>749.91728931907301</v>
      </c>
      <c r="AP145" s="211">
        <f t="shared" si="362"/>
        <v>752.26704707430883</v>
      </c>
      <c r="AQ145" s="211">
        <f t="shared" si="362"/>
        <v>753.65700482153079</v>
      </c>
      <c r="AR145" s="211">
        <f t="shared" si="362"/>
        <v>763.02255995804876</v>
      </c>
      <c r="AS145" s="211">
        <f t="shared" si="362"/>
        <v>757.72745632913973</v>
      </c>
      <c r="AT145" s="211">
        <f t="shared" si="362"/>
        <v>782.73140308195195</v>
      </c>
      <c r="AV145" s="398"/>
      <c r="AW145" s="850" t="str">
        <f>$AH141</f>
        <v>EK-del</v>
      </c>
      <c r="AX145" s="851"/>
      <c r="AY145" s="1111">
        <f t="shared" ref="AY145:BG145" si="363">AY32/AY25</f>
        <v>0.79398219170868811</v>
      </c>
      <c r="AZ145" s="1111">
        <f t="shared" si="363"/>
        <v>0.79403481934652509</v>
      </c>
      <c r="BA145" s="1111">
        <f t="shared" si="363"/>
        <v>0.79399149538822589</v>
      </c>
      <c r="BB145" s="1111">
        <f t="shared" si="363"/>
        <v>0.79398776560641693</v>
      </c>
      <c r="BC145" s="1111">
        <f t="shared" si="363"/>
        <v>0.79415152951294377</v>
      </c>
      <c r="BD145" s="1111">
        <f t="shared" si="363"/>
        <v>0.79403319302755848</v>
      </c>
      <c r="BE145" s="1111">
        <f t="shared" si="363"/>
        <v>0.7941591199383885</v>
      </c>
      <c r="BF145" s="1111">
        <f t="shared" si="363"/>
        <v>0.79382288801295109</v>
      </c>
      <c r="BG145" s="1111">
        <f t="shared" si="363"/>
        <v>0.79396571189728304</v>
      </c>
      <c r="BH145" s="962"/>
      <c r="CM145" s="396"/>
      <c r="CN145" s="396"/>
      <c r="CO145" s="396"/>
      <c r="CP145" s="396"/>
      <c r="CS145" s="396"/>
      <c r="CT145" s="396"/>
      <c r="CU145" s="396"/>
      <c r="CW145" s="396"/>
    </row>
    <row r="146" spans="6:101" x14ac:dyDescent="0.15">
      <c r="F146" s="396"/>
      <c r="G146" s="396"/>
      <c r="H146" s="396"/>
      <c r="I146" s="396"/>
      <c r="J146" s="396"/>
      <c r="K146" s="396"/>
      <c r="L146" s="396"/>
      <c r="M146" s="396"/>
      <c r="N146" s="396"/>
      <c r="O146" s="396"/>
      <c r="P146" s="396"/>
      <c r="Q146" s="396"/>
      <c r="R146" s="396"/>
      <c r="S146" s="396"/>
      <c r="AH146" s="852" t="s">
        <v>490</v>
      </c>
      <c r="AI146" s="853"/>
      <c r="AJ146" s="853"/>
      <c r="AK146" s="1104">
        <f>AK$145*AK58</f>
        <v>686.42500134572322</v>
      </c>
      <c r="AL146" s="1104">
        <f t="shared" ref="AL146:AT146" si="364">AL$145*AL58</f>
        <v>702.79148703941564</v>
      </c>
      <c r="AM146" s="1104">
        <f t="shared" si="364"/>
        <v>713.1595896053077</v>
      </c>
      <c r="AN146" s="1104">
        <f t="shared" si="364"/>
        <v>727.53098962515992</v>
      </c>
      <c r="AO146" s="1104">
        <f t="shared" si="364"/>
        <v>734.91894353269151</v>
      </c>
      <c r="AP146" s="1104">
        <f t="shared" si="364"/>
        <v>737.22170613282265</v>
      </c>
      <c r="AQ146" s="1104">
        <f t="shared" si="364"/>
        <v>738.58386472510017</v>
      </c>
      <c r="AR146" s="1104">
        <f t="shared" si="364"/>
        <v>747.76210875888773</v>
      </c>
      <c r="AS146" s="1104">
        <f t="shared" si="364"/>
        <v>742.57290720255696</v>
      </c>
      <c r="AT146" s="1104">
        <f t="shared" si="364"/>
        <v>767.07677502031288</v>
      </c>
      <c r="AV146" s="398"/>
      <c r="AW146" s="850" t="str">
        <f>$AH142</f>
        <v>Skattedel</v>
      </c>
      <c r="AX146" s="851"/>
      <c r="AY146" s="1111">
        <f t="shared" ref="AY146:BG146" si="365">AY36/AY25</f>
        <v>0.20599537971283347</v>
      </c>
      <c r="AZ146" s="1111">
        <f t="shared" si="365"/>
        <v>0.20589831040679638</v>
      </c>
      <c r="BA146" s="1111">
        <f t="shared" si="365"/>
        <v>0.20599779351382183</v>
      </c>
      <c r="BB146" s="1111">
        <f t="shared" si="365"/>
        <v>0.20599682583743306</v>
      </c>
      <c r="BC146" s="1111">
        <f t="shared" si="365"/>
        <v>0.20603931370235062</v>
      </c>
      <c r="BD146" s="1111">
        <f t="shared" si="365"/>
        <v>0.20600861179304417</v>
      </c>
      <c r="BE146" s="1111">
        <f t="shared" si="365"/>
        <v>0.20604128300668509</v>
      </c>
      <c r="BF146" s="1111">
        <f t="shared" si="365"/>
        <v>0.2059540490310679</v>
      </c>
      <c r="BG146" s="1111">
        <f t="shared" si="365"/>
        <v>0.2059911040942573</v>
      </c>
      <c r="BH146" s="962"/>
      <c r="CM146" s="396"/>
      <c r="CN146" s="396"/>
      <c r="CO146" s="396"/>
      <c r="CP146" s="396"/>
      <c r="CS146" s="396"/>
      <c r="CT146" s="396"/>
      <c r="CU146" s="396"/>
      <c r="CW146" s="396"/>
    </row>
    <row r="147" spans="6:101" x14ac:dyDescent="0.15">
      <c r="F147" s="396"/>
      <c r="G147" s="396"/>
      <c r="H147" s="396"/>
      <c r="I147" s="396"/>
      <c r="J147" s="396"/>
      <c r="K147" s="396"/>
      <c r="L147" s="396"/>
      <c r="M147" s="396"/>
      <c r="N147" s="396"/>
      <c r="O147" s="396"/>
      <c r="P147" s="396"/>
      <c r="Q147" s="396"/>
      <c r="R147" s="396"/>
      <c r="S147" s="396"/>
      <c r="AF147" s="864"/>
      <c r="AH147" s="852" t="str">
        <f>AH59</f>
        <v>Innehav utan bestämmande inflytande</v>
      </c>
      <c r="AI147" s="853"/>
      <c r="AJ147" s="853"/>
      <c r="AK147" s="1104">
        <f>AK$145*AK59</f>
        <v>14.008673496851495</v>
      </c>
      <c r="AL147" s="1104">
        <f t="shared" ref="AL147:AT147" si="366">AL$145*AL59</f>
        <v>14.342683408967666</v>
      </c>
      <c r="AM147" s="1104">
        <f t="shared" si="366"/>
        <v>14.55427733888383</v>
      </c>
      <c r="AN147" s="1104">
        <f t="shared" si="366"/>
        <v>14.847571216839999</v>
      </c>
      <c r="AO147" s="1104">
        <f t="shared" si="366"/>
        <v>14.99834578638146</v>
      </c>
      <c r="AP147" s="1104">
        <f t="shared" si="366"/>
        <v>15.045340941486177</v>
      </c>
      <c r="AQ147" s="1104">
        <f t="shared" si="366"/>
        <v>15.073140096430617</v>
      </c>
      <c r="AR147" s="1104">
        <f t="shared" si="366"/>
        <v>15.260451199160975</v>
      </c>
      <c r="AS147" s="1104">
        <f t="shared" si="366"/>
        <v>15.154549126582795</v>
      </c>
      <c r="AT147" s="1104">
        <f t="shared" si="366"/>
        <v>15.654628061639039</v>
      </c>
      <c r="AV147" s="398"/>
      <c r="AW147" s="854" t="str">
        <f>$AH143</f>
        <v>Total</v>
      </c>
      <c r="AX147" s="855"/>
      <c r="AY147" s="1112">
        <f>SUM(AY145:AY146)</f>
        <v>0.99997757142152155</v>
      </c>
      <c r="AZ147" s="1112">
        <f t="shared" ref="AZ147:BF147" si="367">SUM(AZ145:AZ146)</f>
        <v>0.99993312975332149</v>
      </c>
      <c r="BA147" s="1112">
        <f t="shared" si="367"/>
        <v>0.99998928890204775</v>
      </c>
      <c r="BB147" s="1112">
        <f t="shared" si="367"/>
        <v>0.99998459144384999</v>
      </c>
      <c r="BC147" s="1112">
        <f t="shared" si="367"/>
        <v>1.0001908432152944</v>
      </c>
      <c r="BD147" s="1112">
        <f t="shared" si="367"/>
        <v>1.0000418048206026</v>
      </c>
      <c r="BE147" s="1112">
        <f t="shared" si="367"/>
        <v>1.0002004029450735</v>
      </c>
      <c r="BF147" s="1112">
        <f t="shared" si="367"/>
        <v>0.99977693704401904</v>
      </c>
      <c r="BG147" s="1112">
        <f t="shared" ref="BG147" si="368">SUM(BG145:BG146)</f>
        <v>0.9999568159915404</v>
      </c>
      <c r="BH147" s="962"/>
      <c r="CM147" s="396"/>
      <c r="CN147" s="396"/>
      <c r="CO147" s="396"/>
      <c r="CP147" s="396"/>
      <c r="CS147" s="396"/>
      <c r="CT147" s="396"/>
      <c r="CU147" s="396"/>
      <c r="CW147" s="396"/>
    </row>
    <row r="148" spans="6:101" x14ac:dyDescent="0.15">
      <c r="F148" s="396"/>
      <c r="G148" s="396"/>
      <c r="H148" s="396"/>
      <c r="I148" s="396"/>
      <c r="J148" s="396"/>
      <c r="K148" s="396"/>
      <c r="L148" s="396"/>
      <c r="M148" s="396"/>
      <c r="N148" s="396"/>
      <c r="O148" s="396"/>
      <c r="P148" s="396"/>
      <c r="Q148" s="396"/>
      <c r="R148" s="396"/>
      <c r="S148" s="396"/>
      <c r="AF148" s="864"/>
      <c r="AH148" s="849" t="str">
        <f>AH142</f>
        <v>Skattedel</v>
      </c>
      <c r="AI148" s="849"/>
      <c r="AJ148" s="849"/>
      <c r="AK148" s="211">
        <f t="shared" ref="AK148:AT148" si="369">AK$138*AK142</f>
        <v>181.72460581557982</v>
      </c>
      <c r="AL148" s="211">
        <f t="shared" si="369"/>
        <v>186.05747999038658</v>
      </c>
      <c r="AM148" s="211">
        <f t="shared" si="369"/>
        <v>188.80233827519325</v>
      </c>
      <c r="AN148" s="211">
        <f t="shared" si="369"/>
        <v>192.60703215799995</v>
      </c>
      <c r="AO148" s="211">
        <f t="shared" si="369"/>
        <v>194.56292392912977</v>
      </c>
      <c r="AP148" s="211">
        <f t="shared" si="369"/>
        <v>195.17255881272999</v>
      </c>
      <c r="AQ148" s="211">
        <f t="shared" si="369"/>
        <v>195.53317757334423</v>
      </c>
      <c r="AR148" s="211">
        <f t="shared" si="369"/>
        <v>197.9630319286625</v>
      </c>
      <c r="AS148" s="211">
        <f t="shared" si="369"/>
        <v>196.58923929949972</v>
      </c>
      <c r="AT148" s="211">
        <f t="shared" si="369"/>
        <v>203.07640936383135</v>
      </c>
      <c r="AV148" s="398"/>
      <c r="AW148" s="398"/>
      <c r="AX148" s="398"/>
      <c r="AY148" s="962"/>
      <c r="AZ148" s="962"/>
      <c r="BA148" s="962"/>
      <c r="BB148" s="962"/>
      <c r="BC148" s="962"/>
      <c r="BD148" s="962"/>
      <c r="BE148" s="962"/>
      <c r="BF148" s="962"/>
      <c r="BG148" s="962"/>
      <c r="BH148" s="962"/>
      <c r="CM148" s="396"/>
      <c r="CN148" s="396"/>
      <c r="CO148" s="396"/>
      <c r="CP148" s="396"/>
      <c r="CS148" s="396"/>
      <c r="CT148" s="396"/>
      <c r="CU148" s="396"/>
      <c r="CW148" s="396"/>
    </row>
    <row r="149" spans="6:101" x14ac:dyDescent="0.15">
      <c r="F149" s="396"/>
      <c r="G149" s="396"/>
      <c r="H149" s="396"/>
      <c r="I149" s="396"/>
      <c r="J149" s="396"/>
      <c r="K149" s="396"/>
      <c r="L149" s="396"/>
      <c r="M149" s="396"/>
      <c r="N149" s="396"/>
      <c r="O149" s="396"/>
      <c r="P149" s="396"/>
      <c r="Q149" s="396"/>
      <c r="R149" s="396"/>
      <c r="S149" s="396"/>
      <c r="AH149" s="856" t="str">
        <f>AH143</f>
        <v>Total</v>
      </c>
      <c r="AI149" s="856"/>
      <c r="AJ149" s="856"/>
      <c r="AK149" s="1105">
        <f>+AK148+AK145</f>
        <v>882.15828065815458</v>
      </c>
      <c r="AL149" s="1105">
        <f t="shared" ref="AL149:AR149" si="370">+AL148+AL145</f>
        <v>903.1916504387699</v>
      </c>
      <c r="AM149" s="1105">
        <f t="shared" si="370"/>
        <v>916.5162052193848</v>
      </c>
      <c r="AN149" s="1105">
        <f t="shared" si="370"/>
        <v>934.98559299999988</v>
      </c>
      <c r="AO149" s="1105">
        <f t="shared" si="370"/>
        <v>944.48021324820274</v>
      </c>
      <c r="AP149" s="1105">
        <f t="shared" si="370"/>
        <v>947.43960588703885</v>
      </c>
      <c r="AQ149" s="1105">
        <f t="shared" si="370"/>
        <v>949.19018239487502</v>
      </c>
      <c r="AR149" s="1105">
        <f t="shared" si="370"/>
        <v>960.98559188671129</v>
      </c>
      <c r="AS149" s="1105">
        <f t="shared" ref="AS149:AT149" si="371">+AS148+AS145</f>
        <v>954.31669562863942</v>
      </c>
      <c r="AT149" s="1105">
        <f t="shared" si="371"/>
        <v>985.80781244578327</v>
      </c>
      <c r="AV149" s="398"/>
      <c r="AW149" s="398"/>
      <c r="AX149" s="398"/>
      <c r="AY149" s="962"/>
      <c r="AZ149" s="962"/>
      <c r="BA149" s="962"/>
      <c r="BB149" s="962"/>
      <c r="BC149" s="962"/>
      <c r="BD149" s="962"/>
      <c r="BE149" s="962"/>
      <c r="BF149" s="962"/>
      <c r="BG149" s="962"/>
      <c r="BH149" s="962"/>
      <c r="CM149" s="396"/>
      <c r="CN149" s="396"/>
      <c r="CO149" s="396"/>
      <c r="CP149" s="396"/>
      <c r="CS149" s="396"/>
      <c r="CT149" s="396"/>
      <c r="CU149" s="396"/>
      <c r="CW149" s="396"/>
    </row>
    <row r="150" spans="6:101" x14ac:dyDescent="0.15">
      <c r="F150" s="396"/>
      <c r="G150" s="396"/>
      <c r="H150" s="396"/>
      <c r="I150" s="396"/>
      <c r="J150" s="396"/>
      <c r="K150" s="396"/>
      <c r="L150" s="396"/>
      <c r="M150" s="396"/>
      <c r="N150" s="396"/>
      <c r="O150" s="396"/>
      <c r="P150" s="396"/>
      <c r="Q150" s="396"/>
      <c r="R150" s="396"/>
      <c r="S150" s="396"/>
      <c r="AH150" s="847" t="s">
        <v>181</v>
      </c>
      <c r="AI150" s="1098"/>
      <c r="AJ150" s="1098"/>
      <c r="AK150" s="1098">
        <f>SUM(AK146:AK147,AK148)-AK138</f>
        <v>0</v>
      </c>
      <c r="AL150" s="1098">
        <f t="shared" ref="AL150:AT150" si="372">SUM(AL146:AL147,AL148)-AL138</f>
        <v>0</v>
      </c>
      <c r="AM150" s="1098">
        <f t="shared" si="372"/>
        <v>0</v>
      </c>
      <c r="AN150" s="1098">
        <f t="shared" si="372"/>
        <v>0</v>
      </c>
      <c r="AO150" s="1098">
        <f t="shared" si="372"/>
        <v>0</v>
      </c>
      <c r="AP150" s="1098">
        <f t="shared" si="372"/>
        <v>0</v>
      </c>
      <c r="AQ150" s="1098">
        <f t="shared" si="372"/>
        <v>0</v>
      </c>
      <c r="AR150" s="1098">
        <f t="shared" si="372"/>
        <v>0</v>
      </c>
      <c r="AS150" s="1098">
        <f t="shared" si="372"/>
        <v>0</v>
      </c>
      <c r="AT150" s="1098">
        <f t="shared" si="372"/>
        <v>0</v>
      </c>
      <c r="AV150" s="398"/>
      <c r="AW150" s="398"/>
      <c r="AX150" s="398"/>
      <c r="AY150" s="962"/>
      <c r="AZ150" s="962"/>
      <c r="BA150" s="962"/>
      <c r="BB150" s="962"/>
      <c r="BC150" s="962"/>
      <c r="BD150" s="962"/>
      <c r="BE150" s="962"/>
      <c r="BF150" s="962"/>
      <c r="BG150" s="962"/>
      <c r="BH150" s="962"/>
      <c r="CM150" s="396"/>
      <c r="CN150" s="396"/>
      <c r="CO150" s="396"/>
      <c r="CP150" s="396"/>
      <c r="CS150" s="396"/>
      <c r="CT150" s="396"/>
      <c r="CU150" s="396"/>
      <c r="CW150" s="396"/>
    </row>
    <row r="151" spans="6:101" x14ac:dyDescent="0.15">
      <c r="F151" s="396"/>
      <c r="G151" s="396"/>
      <c r="H151" s="396"/>
      <c r="I151" s="396"/>
      <c r="J151" s="396"/>
      <c r="K151" s="396"/>
      <c r="L151" s="396"/>
      <c r="M151" s="396"/>
      <c r="N151" s="396"/>
      <c r="O151" s="396"/>
      <c r="P151" s="396"/>
      <c r="Q151" s="396"/>
      <c r="R151" s="396"/>
      <c r="S151" s="396"/>
      <c r="AH151" s="847" t="s">
        <v>181</v>
      </c>
      <c r="AI151" s="847"/>
      <c r="AJ151" s="847"/>
      <c r="AK151" s="1098">
        <f t="shared" ref="AK151:AT151" si="373">AK149-AK138</f>
        <v>0</v>
      </c>
      <c r="AL151" s="1098">
        <f t="shared" si="373"/>
        <v>0</v>
      </c>
      <c r="AM151" s="1098">
        <f t="shared" si="373"/>
        <v>0</v>
      </c>
      <c r="AN151" s="1098">
        <f t="shared" si="373"/>
        <v>0</v>
      </c>
      <c r="AO151" s="1098">
        <f t="shared" si="373"/>
        <v>0</v>
      </c>
      <c r="AP151" s="1098">
        <f t="shared" si="373"/>
        <v>0</v>
      </c>
      <c r="AQ151" s="1098">
        <f t="shared" si="373"/>
        <v>0</v>
      </c>
      <c r="AR151" s="1098">
        <f t="shared" si="373"/>
        <v>0</v>
      </c>
      <c r="AS151" s="1098">
        <f t="shared" si="373"/>
        <v>0</v>
      </c>
      <c r="AT151" s="1098">
        <f t="shared" si="373"/>
        <v>0</v>
      </c>
      <c r="AV151" s="398"/>
      <c r="AW151" s="398"/>
      <c r="AX151" s="398"/>
      <c r="AY151" s="962"/>
      <c r="AZ151" s="962"/>
      <c r="BA151" s="962"/>
      <c r="BB151" s="962"/>
      <c r="BC151" s="962"/>
      <c r="BD151" s="962"/>
      <c r="BE151" s="962"/>
      <c r="BF151" s="962"/>
      <c r="BG151" s="962"/>
      <c r="BH151" s="962"/>
      <c r="CM151" s="396"/>
      <c r="CN151" s="396"/>
      <c r="CO151" s="396"/>
      <c r="CP151" s="396"/>
      <c r="CS151" s="396"/>
      <c r="CT151" s="396"/>
      <c r="CU151" s="396"/>
      <c r="CW151" s="396"/>
    </row>
    <row r="152" spans="6:101" x14ac:dyDescent="0.15">
      <c r="F152" s="396"/>
      <c r="G152" s="396"/>
      <c r="H152" s="396"/>
      <c r="I152" s="396"/>
      <c r="J152" s="396"/>
      <c r="K152" s="396"/>
      <c r="L152" s="396"/>
      <c r="M152" s="396"/>
      <c r="N152" s="396"/>
      <c r="O152" s="396"/>
      <c r="P152" s="396"/>
      <c r="Q152" s="396"/>
      <c r="R152" s="396"/>
      <c r="S152" s="396"/>
      <c r="AV152" s="398"/>
      <c r="AY152" s="888"/>
      <c r="AZ152" s="888"/>
      <c r="BA152" s="888"/>
      <c r="BB152" s="888"/>
      <c r="BC152" s="888"/>
      <c r="BD152" s="888"/>
      <c r="BE152" s="888"/>
      <c r="BF152" s="888"/>
      <c r="BG152" s="888"/>
      <c r="BH152" s="888"/>
      <c r="CM152" s="396"/>
      <c r="CN152" s="396"/>
      <c r="CO152" s="396"/>
      <c r="CP152" s="396"/>
      <c r="CS152" s="396"/>
      <c r="CT152" s="396"/>
      <c r="CU152" s="396"/>
      <c r="CW152" s="396"/>
    </row>
    <row r="153" spans="6:101" x14ac:dyDescent="0.15">
      <c r="F153" s="396"/>
      <c r="G153" s="396"/>
      <c r="H153" s="396"/>
      <c r="I153" s="396"/>
      <c r="J153" s="396"/>
      <c r="K153" s="396"/>
      <c r="L153" s="396"/>
      <c r="M153" s="396"/>
      <c r="N153" s="396"/>
      <c r="O153" s="396"/>
      <c r="P153" s="396"/>
      <c r="Q153" s="396"/>
      <c r="R153" s="396"/>
      <c r="S153" s="396"/>
      <c r="AV153" s="398"/>
      <c r="AY153" s="888"/>
      <c r="AZ153" s="888"/>
      <c r="BA153" s="888"/>
      <c r="BB153" s="888"/>
      <c r="BC153" s="888"/>
      <c r="BD153" s="888"/>
      <c r="BE153" s="888"/>
      <c r="BF153" s="888"/>
      <c r="BG153" s="888"/>
      <c r="BH153" s="888"/>
      <c r="CM153" s="396"/>
      <c r="CN153" s="396"/>
      <c r="CO153" s="396"/>
      <c r="CP153" s="396"/>
      <c r="CS153" s="396"/>
      <c r="CT153" s="396"/>
      <c r="CU153" s="396"/>
      <c r="CW153" s="396"/>
    </row>
    <row r="154" spans="6:101" x14ac:dyDescent="0.15">
      <c r="F154" s="396"/>
      <c r="G154" s="396"/>
      <c r="H154" s="396"/>
      <c r="I154" s="396"/>
      <c r="J154" s="396"/>
      <c r="K154" s="396"/>
      <c r="L154" s="396"/>
      <c r="M154" s="396"/>
      <c r="N154" s="396"/>
      <c r="O154" s="396"/>
      <c r="P154" s="396"/>
      <c r="Q154" s="396"/>
      <c r="R154" s="396"/>
      <c r="S154" s="396"/>
      <c r="AG154" s="799"/>
      <c r="AH154" s="1825" t="s">
        <v>511</v>
      </c>
      <c r="AI154" s="799"/>
      <c r="AJ154" s="799"/>
      <c r="AK154" s="799"/>
      <c r="AL154" s="799"/>
      <c r="AM154" s="799"/>
      <c r="AN154" s="799"/>
      <c r="AO154" s="799"/>
      <c r="AP154" s="799"/>
      <c r="AQ154" s="799"/>
      <c r="AR154" s="799"/>
      <c r="AS154" s="799"/>
      <c r="AT154" s="799"/>
      <c r="AU154" s="1826"/>
      <c r="AV154" s="398"/>
      <c r="AY154" s="888"/>
      <c r="AZ154" s="888"/>
      <c r="BA154" s="888"/>
      <c r="BB154" s="888"/>
      <c r="BC154" s="888"/>
      <c r="BD154" s="888"/>
      <c r="BE154" s="888"/>
      <c r="BF154" s="888"/>
      <c r="BG154" s="888"/>
      <c r="BH154" s="888"/>
      <c r="CM154" s="396"/>
      <c r="CN154" s="396"/>
      <c r="CO154" s="396"/>
      <c r="CP154" s="396"/>
      <c r="CS154" s="396"/>
      <c r="CT154" s="396"/>
      <c r="CU154" s="396"/>
      <c r="CW154" s="396"/>
    </row>
    <row r="155" spans="6:101" x14ac:dyDescent="0.15">
      <c r="F155" s="396"/>
      <c r="G155" s="396"/>
      <c r="H155" s="396"/>
      <c r="I155" s="396"/>
      <c r="J155" s="396"/>
      <c r="K155" s="396"/>
      <c r="L155" s="396"/>
      <c r="M155" s="396"/>
      <c r="N155" s="396"/>
      <c r="O155" s="396"/>
      <c r="P155" s="396"/>
      <c r="Q155" s="396"/>
      <c r="R155" s="396"/>
      <c r="S155" s="396"/>
      <c r="AG155" s="799"/>
      <c r="AH155" s="1827"/>
      <c r="AI155" s="1827"/>
      <c r="AJ155" s="1827"/>
      <c r="AK155" s="1828">
        <f t="shared" ref="AK155:AT155" si="374">AK$44</f>
        <v>2403</v>
      </c>
      <c r="AL155" s="1828">
        <f t="shared" si="374"/>
        <v>2406</v>
      </c>
      <c r="AM155" s="1828">
        <f t="shared" si="374"/>
        <v>2409</v>
      </c>
      <c r="AN155" s="1828">
        <f t="shared" si="374"/>
        <v>2412</v>
      </c>
      <c r="AO155" s="1828">
        <f t="shared" si="374"/>
        <v>2503</v>
      </c>
      <c r="AP155" s="1828">
        <f t="shared" si="374"/>
        <v>2506</v>
      </c>
      <c r="AQ155" s="1828">
        <f t="shared" si="374"/>
        <v>2509</v>
      </c>
      <c r="AR155" s="1828">
        <f t="shared" si="374"/>
        <v>2512</v>
      </c>
      <c r="AS155" s="1828">
        <f t="shared" si="374"/>
        <v>2603</v>
      </c>
      <c r="AT155" s="1828">
        <f t="shared" si="374"/>
        <v>2606</v>
      </c>
      <c r="AU155" s="1826"/>
      <c r="AV155" s="398"/>
      <c r="AW155" s="859"/>
      <c r="AX155" s="859"/>
      <c r="AY155" s="1113"/>
      <c r="AZ155" s="1113"/>
      <c r="BA155" s="1113"/>
      <c r="BB155" s="1113"/>
      <c r="BC155" s="1113"/>
      <c r="BD155" s="1113"/>
      <c r="BE155" s="1113"/>
      <c r="BF155" s="1113"/>
      <c r="BG155" s="1113"/>
      <c r="BH155" s="888"/>
      <c r="CM155" s="396"/>
      <c r="CN155" s="396"/>
      <c r="CO155" s="396"/>
      <c r="CP155" s="396"/>
      <c r="CS155" s="396"/>
      <c r="CT155" s="396"/>
      <c r="CU155" s="396"/>
      <c r="CW155" s="396"/>
    </row>
    <row r="156" spans="6:101" x14ac:dyDescent="0.15">
      <c r="F156" s="396"/>
      <c r="G156" s="396"/>
      <c r="H156" s="396"/>
      <c r="I156" s="396"/>
      <c r="J156" s="396"/>
      <c r="K156" s="396"/>
      <c r="L156" s="396"/>
      <c r="M156" s="396"/>
      <c r="N156" s="396"/>
      <c r="O156" s="396"/>
      <c r="P156" s="396"/>
      <c r="Q156" s="396"/>
      <c r="R156" s="396"/>
      <c r="S156" s="396"/>
      <c r="AG156" s="799"/>
      <c r="AH156" s="799" t="s">
        <v>512</v>
      </c>
      <c r="AI156" s="799"/>
      <c r="AJ156" s="799"/>
      <c r="AK156" s="1829">
        <f>'Koncern RR '!T30</f>
        <v>-7.1</v>
      </c>
      <c r="AL156" s="1829">
        <f>'Koncern RR '!U30</f>
        <v>-10.799999999999999</v>
      </c>
      <c r="AM156" s="1829">
        <f>'Koncern RR '!V30</f>
        <v>-4.9000000000000021</v>
      </c>
      <c r="AN156" s="1829">
        <f>'Koncern RR '!W30</f>
        <v>-9.9999999999999964</v>
      </c>
      <c r="AO156" s="1829">
        <f>'Koncern RR '!X30</f>
        <v>-12.799999999999999</v>
      </c>
      <c r="AP156" s="1829">
        <f>'Koncern RR '!Y30</f>
        <v>-9.0000000000000018</v>
      </c>
      <c r="AQ156" s="1829">
        <f>'Koncern RR '!Z30</f>
        <v>-2.5999999999999979</v>
      </c>
      <c r="AR156" s="1829">
        <f>'Koncern RR '!AA30</f>
        <v>-7.1000000000000014</v>
      </c>
      <c r="AS156" s="1829">
        <f>'Koncern RR '!AB30</f>
        <v>-10.399999999999999</v>
      </c>
      <c r="AT156" s="1829">
        <f>'Koncern RR '!AC30</f>
        <v>-17.5</v>
      </c>
      <c r="AU156" s="1826"/>
      <c r="AW156" s="859"/>
      <c r="AX156" s="859"/>
      <c r="AY156" s="1113"/>
      <c r="AZ156" s="1113"/>
      <c r="BA156" s="1113"/>
      <c r="BB156" s="1113"/>
      <c r="BC156" s="1113"/>
      <c r="BD156" s="1113"/>
      <c r="BE156" s="1113"/>
      <c r="BF156" s="1113"/>
      <c r="BG156" s="1113"/>
      <c r="BH156" s="888"/>
      <c r="CM156" s="396"/>
      <c r="CN156" s="396"/>
      <c r="CO156" s="396"/>
      <c r="CP156" s="396"/>
      <c r="CS156" s="396"/>
      <c r="CT156" s="396"/>
      <c r="CU156" s="396"/>
      <c r="CW156" s="396"/>
    </row>
    <row r="157" spans="6:101" x14ac:dyDescent="0.15">
      <c r="F157" s="396"/>
      <c r="G157" s="396"/>
      <c r="H157" s="396"/>
      <c r="I157" s="396"/>
      <c r="J157" s="396"/>
      <c r="K157" s="396"/>
      <c r="L157" s="396"/>
      <c r="M157" s="396"/>
      <c r="N157" s="396"/>
      <c r="O157" s="396"/>
      <c r="P157" s="396"/>
      <c r="Q157" s="396"/>
      <c r="R157" s="396"/>
      <c r="S157" s="396"/>
      <c r="AG157" s="799"/>
      <c r="AH157" s="1830" t="s">
        <v>513</v>
      </c>
      <c r="AI157" s="1830"/>
      <c r="AJ157" s="1830"/>
      <c r="AK157" s="1831">
        <f>'Koncern RR '!T33</f>
        <v>0</v>
      </c>
      <c r="AL157" s="1831">
        <f>'Koncern RR '!U33</f>
        <v>0</v>
      </c>
      <c r="AM157" s="1831">
        <f>'Koncern RR '!V33</f>
        <v>0</v>
      </c>
      <c r="AN157" s="1831">
        <f>'Koncern RR '!W33</f>
        <v>0</v>
      </c>
      <c r="AO157" s="1831">
        <f>'Koncern RR '!X33</f>
        <v>0.7</v>
      </c>
      <c r="AP157" s="1831">
        <f>'Koncern RR '!Y33</f>
        <v>1.8</v>
      </c>
      <c r="AQ157" s="1831">
        <f>'Koncern RR '!Z33</f>
        <v>1.4</v>
      </c>
      <c r="AR157" s="1831">
        <f>'Koncern RR '!AA33</f>
        <v>4</v>
      </c>
      <c r="AS157" s="1831">
        <f>'Koncern RR '!AB33</f>
        <v>0.7</v>
      </c>
      <c r="AT157" s="1831">
        <f>'Koncern RR '!AC33</f>
        <v>0.20000000000000007</v>
      </c>
      <c r="AU157" s="1826"/>
      <c r="AW157" s="859"/>
      <c r="AX157" s="859"/>
      <c r="AY157" s="1113"/>
      <c r="AZ157" s="1113"/>
      <c r="BA157" s="1113"/>
      <c r="BB157" s="1113"/>
      <c r="BC157" s="1113"/>
      <c r="BD157" s="1113"/>
      <c r="BE157" s="1113"/>
      <c r="BF157" s="1113"/>
      <c r="BG157" s="1113"/>
      <c r="BH157" s="888"/>
      <c r="CM157" s="396"/>
      <c r="CN157" s="396"/>
      <c r="CO157" s="396"/>
      <c r="CP157" s="396"/>
      <c r="CS157" s="396"/>
      <c r="CT157" s="396"/>
      <c r="CU157" s="396"/>
      <c r="CW157" s="396"/>
    </row>
    <row r="158" spans="6:101" x14ac:dyDescent="0.15">
      <c r="F158" s="396"/>
      <c r="G158" s="396"/>
      <c r="H158" s="396"/>
      <c r="I158" s="396"/>
      <c r="J158" s="396"/>
      <c r="K158" s="396"/>
      <c r="L158" s="396"/>
      <c r="M158" s="396"/>
      <c r="N158" s="396"/>
      <c r="O158" s="396"/>
      <c r="P158" s="396"/>
      <c r="Q158" s="396"/>
      <c r="R158" s="396"/>
      <c r="S158" s="396"/>
      <c r="AG158" s="799"/>
      <c r="AH158" s="1825" t="s">
        <v>514</v>
      </c>
      <c r="AI158" s="1825"/>
      <c r="AJ158" s="1825"/>
      <c r="AK158" s="1832">
        <f t="shared" ref="AK158:AT158" si="375">SUM(AK156:AK157)</f>
        <v>-7.1</v>
      </c>
      <c r="AL158" s="1832">
        <f t="shared" si="375"/>
        <v>-10.799999999999999</v>
      </c>
      <c r="AM158" s="1832">
        <f t="shared" si="375"/>
        <v>-4.9000000000000021</v>
      </c>
      <c r="AN158" s="1832">
        <f t="shared" si="375"/>
        <v>-9.9999999999999964</v>
      </c>
      <c r="AO158" s="1832">
        <f t="shared" si="375"/>
        <v>-12.1</v>
      </c>
      <c r="AP158" s="1832">
        <f t="shared" si="375"/>
        <v>-7.200000000000002</v>
      </c>
      <c r="AQ158" s="1832">
        <f t="shared" si="375"/>
        <v>-1.199999999999998</v>
      </c>
      <c r="AR158" s="1832">
        <f t="shared" si="375"/>
        <v>-3.1000000000000014</v>
      </c>
      <c r="AS158" s="1832">
        <f t="shared" si="375"/>
        <v>-9.6999999999999993</v>
      </c>
      <c r="AT158" s="1832">
        <f t="shared" si="375"/>
        <v>-17.3</v>
      </c>
      <c r="AU158" s="1826"/>
      <c r="AW158" s="859"/>
      <c r="AX158" s="859"/>
      <c r="AY158" s="859"/>
      <c r="AZ158" s="859"/>
      <c r="BA158" s="859"/>
      <c r="BB158" s="859"/>
      <c r="BC158" s="859"/>
      <c r="BD158" s="859"/>
      <c r="BE158" s="859"/>
      <c r="BF158" s="859"/>
      <c r="BG158" s="859"/>
      <c r="CM158" s="396"/>
      <c r="CN158" s="396"/>
      <c r="CO158" s="396"/>
      <c r="CP158" s="396"/>
      <c r="CS158" s="396"/>
      <c r="CT158" s="396"/>
      <c r="CU158" s="396"/>
      <c r="CW158" s="396"/>
    </row>
    <row r="159" spans="6:101" x14ac:dyDescent="0.15">
      <c r="F159" s="396"/>
      <c r="G159" s="396"/>
      <c r="H159" s="396"/>
      <c r="I159" s="396"/>
      <c r="J159" s="396"/>
      <c r="K159" s="396"/>
      <c r="L159" s="396"/>
      <c r="M159" s="396"/>
      <c r="N159" s="396"/>
      <c r="O159" s="396"/>
      <c r="P159" s="396"/>
      <c r="Q159" s="396"/>
      <c r="R159" s="396"/>
      <c r="S159" s="396"/>
      <c r="AG159" s="799"/>
      <c r="AH159" s="799"/>
      <c r="AI159" s="799"/>
      <c r="AJ159" s="799"/>
      <c r="AK159" s="1829"/>
      <c r="AL159" s="1829"/>
      <c r="AM159" s="1829"/>
      <c r="AN159" s="1829"/>
      <c r="AO159" s="1829"/>
      <c r="AP159" s="1829"/>
      <c r="AQ159" s="1829"/>
      <c r="AR159" s="1829"/>
      <c r="AS159" s="1829"/>
      <c r="AT159" s="1829"/>
      <c r="AU159" s="1826"/>
      <c r="AW159" s="859"/>
      <c r="AX159" s="859"/>
      <c r="AY159" s="859"/>
      <c r="AZ159" s="859"/>
      <c r="BA159" s="859"/>
      <c r="BB159" s="859"/>
      <c r="BC159" s="859"/>
      <c r="BD159" s="859"/>
      <c r="BE159" s="859"/>
      <c r="BF159" s="859"/>
      <c r="BG159" s="859"/>
      <c r="CM159" s="396"/>
      <c r="CN159" s="396"/>
      <c r="CO159" s="396"/>
      <c r="CP159" s="396"/>
      <c r="CS159" s="396"/>
      <c r="CT159" s="396"/>
      <c r="CU159" s="396"/>
      <c r="CW159" s="396"/>
    </row>
    <row r="160" spans="6:101" x14ac:dyDescent="0.15">
      <c r="F160" s="396"/>
      <c r="G160" s="396"/>
      <c r="H160" s="396"/>
      <c r="I160" s="396"/>
      <c r="J160" s="396"/>
      <c r="K160" s="396"/>
      <c r="L160" s="396"/>
      <c r="M160" s="396"/>
      <c r="N160" s="396"/>
      <c r="O160" s="396"/>
      <c r="P160" s="396"/>
      <c r="Q160" s="396"/>
      <c r="R160" s="396"/>
      <c r="S160" s="396"/>
      <c r="AG160" s="799"/>
      <c r="AH160" s="799" t="s">
        <v>515</v>
      </c>
      <c r="AI160" s="799"/>
      <c r="AJ160" s="799"/>
      <c r="AK160" s="1829">
        <f>'Koncern RR '!CK30</f>
        <v>-2.328315000000003</v>
      </c>
      <c r="AL160" s="1829">
        <f>'Koncern RR '!CL30</f>
        <v>-6.1187150000000097</v>
      </c>
      <c r="AM160" s="1829">
        <f>'Koncern RR '!CM30</f>
        <v>-0.10351499999996293</v>
      </c>
      <c r="AN160" s="1829">
        <f>'Koncern RR '!CN30</f>
        <v>0.41148499999995269</v>
      </c>
      <c r="AO160" s="1829">
        <f>'Koncern RR '!CO30</f>
        <v>-7.0606500000000123</v>
      </c>
      <c r="AP160" s="1829">
        <f>'Koncern RR '!CP30</f>
        <v>-2.2402499999999583</v>
      </c>
      <c r="AQ160" s="1829">
        <f>'Koncern RR '!CQ30</f>
        <v>-0.50985000000001723</v>
      </c>
      <c r="AR160" s="1829">
        <f>'Koncern RR '!CR30</f>
        <v>0.68494999999997785</v>
      </c>
      <c r="AS160" s="1829">
        <f>'Koncern RR '!CS30</f>
        <v>-4.7172677479999949</v>
      </c>
      <c r="AT160" s="1829">
        <f>'Koncern RR '!CT30</f>
        <v>-12.951808336000022</v>
      </c>
      <c r="AU160" s="1826"/>
      <c r="AW160" s="859"/>
      <c r="AX160" s="859"/>
      <c r="AY160" s="859"/>
      <c r="AZ160" s="859"/>
      <c r="BA160" s="859"/>
      <c r="BB160" s="859"/>
      <c r="BC160" s="859"/>
      <c r="BD160" s="859"/>
      <c r="BE160" s="859"/>
      <c r="BF160" s="859"/>
      <c r="BG160" s="859"/>
      <c r="CM160" s="396"/>
      <c r="CN160" s="396"/>
      <c r="CO160" s="396"/>
      <c r="CP160" s="396"/>
      <c r="CS160" s="396"/>
      <c r="CT160" s="396"/>
      <c r="CU160" s="396"/>
    </row>
    <row r="161" spans="33:60" x14ac:dyDescent="0.15">
      <c r="AG161" s="799"/>
      <c r="AH161" s="1830" t="s">
        <v>516</v>
      </c>
      <c r="AI161" s="1830"/>
      <c r="AJ161" s="1830"/>
      <c r="AK161" s="1831">
        <f>'Koncern RR '!CK33</f>
        <v>0</v>
      </c>
      <c r="AL161" s="1831">
        <f>'Koncern RR '!CL33</f>
        <v>0</v>
      </c>
      <c r="AM161" s="1831">
        <f>'Koncern RR '!CM33</f>
        <v>0</v>
      </c>
      <c r="AN161" s="1831">
        <f>'Koncern RR '!CN33</f>
        <v>0</v>
      </c>
      <c r="AO161" s="1831">
        <f>'Koncern RR '!CO33</f>
        <v>0.64600000000000002</v>
      </c>
      <c r="AP161" s="1831">
        <f>'Koncern RR '!CP33</f>
        <v>1.7669999999999999</v>
      </c>
      <c r="AQ161" s="1831">
        <f>'Koncern RR '!CQ33</f>
        <v>1.5010000000000003</v>
      </c>
      <c r="AR161" s="1831">
        <f>'Koncern RR '!CR33</f>
        <v>3.6859999999999999</v>
      </c>
      <c r="AS161" s="1831">
        <f>'Koncern RR '!CS33</f>
        <v>0.66500000000000004</v>
      </c>
      <c r="AT161" s="1831">
        <f>'Koncern RR '!CT33</f>
        <v>0.15199999999999997</v>
      </c>
      <c r="AU161" s="1826"/>
      <c r="AW161" s="859"/>
      <c r="AX161" s="859"/>
      <c r="AY161" s="859"/>
      <c r="AZ161" s="859"/>
      <c r="BA161" s="859"/>
      <c r="BB161" s="859"/>
      <c r="BC161" s="859"/>
      <c r="BD161" s="859"/>
      <c r="BE161" s="859"/>
      <c r="BF161" s="859"/>
      <c r="BG161" s="859"/>
    </row>
    <row r="162" spans="33:60" x14ac:dyDescent="0.15">
      <c r="AG162" s="799"/>
      <c r="AH162" s="1825" t="s">
        <v>517</v>
      </c>
      <c r="AI162" s="1825"/>
      <c r="AJ162" s="1825"/>
      <c r="AK162" s="1832">
        <f>'Koncern RR '!CK91</f>
        <v>-2.328315000000003</v>
      </c>
      <c r="AL162" s="1832">
        <f>'Koncern RR '!CL91</f>
        <v>-6.1187150000000097</v>
      </c>
      <c r="AM162" s="1832">
        <f>'Koncern RR '!CM91</f>
        <v>-0.10351499999996293</v>
      </c>
      <c r="AN162" s="1832">
        <f>'Koncern RR '!CN91</f>
        <v>0.41148499999995269</v>
      </c>
      <c r="AO162" s="1832">
        <f>'Koncern RR '!CO91</f>
        <v>-6.4146500000000124</v>
      </c>
      <c r="AP162" s="1832">
        <f>'Koncern RR '!CP91</f>
        <v>-0.47324999999995843</v>
      </c>
      <c r="AQ162" s="1832">
        <f>'Koncern RR '!CQ91</f>
        <v>0.9911499999999831</v>
      </c>
      <c r="AR162" s="1832">
        <f>'Koncern RR '!CR91</f>
        <v>4.3709499999999775</v>
      </c>
      <c r="AS162" s="1832">
        <f>'Koncern RR '!CS91</f>
        <v>-4.0522677479999949</v>
      </c>
      <c r="AT162" s="1832">
        <f>'Koncern RR '!CT91</f>
        <v>-12.799808336000023</v>
      </c>
      <c r="AU162" s="1826"/>
      <c r="AW162" s="859"/>
      <c r="AX162" s="859"/>
      <c r="AY162" s="859"/>
      <c r="AZ162" s="859"/>
      <c r="BA162" s="859"/>
      <c r="BB162" s="859"/>
      <c r="BC162" s="859"/>
      <c r="BD162" s="859"/>
      <c r="BE162" s="859"/>
      <c r="BF162" s="859"/>
      <c r="BG162" s="859"/>
    </row>
    <row r="163" spans="33:60" x14ac:dyDescent="0.15">
      <c r="AG163" s="799"/>
      <c r="AH163" s="799"/>
      <c r="AI163" s="799"/>
      <c r="AJ163" s="799"/>
      <c r="AK163" s="1829"/>
      <c r="AL163" s="1829"/>
      <c r="AM163" s="1829"/>
      <c r="AN163" s="1829"/>
      <c r="AO163" s="1829"/>
      <c r="AP163" s="1829"/>
      <c r="AQ163" s="1829"/>
      <c r="AR163" s="1829"/>
      <c r="AS163" s="1829"/>
      <c r="AT163" s="1829"/>
      <c r="AU163" s="1826"/>
      <c r="AW163" s="859"/>
      <c r="AX163" s="859"/>
      <c r="AY163" s="859"/>
      <c r="AZ163" s="859"/>
      <c r="BA163" s="859"/>
      <c r="BB163" s="859"/>
      <c r="BC163" s="859"/>
      <c r="BD163" s="859"/>
      <c r="BE163" s="859"/>
      <c r="BF163" s="859"/>
      <c r="BG163" s="859"/>
    </row>
    <row r="164" spans="33:60" x14ac:dyDescent="0.15">
      <c r="AG164" s="799"/>
      <c r="AH164" s="799" t="str">
        <f>"∆ "&amp;RIGHT(AH160,18)</f>
        <v>∆  Skatt Kvarvarande</v>
      </c>
      <c r="AI164" s="799"/>
      <c r="AJ164" s="799"/>
      <c r="AK164" s="1829">
        <f t="shared" ref="AK164:AT164" si="376">AK160-AK156</f>
        <v>4.7716849999999962</v>
      </c>
      <c r="AL164" s="1829">
        <f t="shared" si="376"/>
        <v>4.6812849999999893</v>
      </c>
      <c r="AM164" s="1829">
        <f t="shared" si="376"/>
        <v>4.7964850000000396</v>
      </c>
      <c r="AN164" s="1829">
        <f t="shared" si="376"/>
        <v>10.411484999999949</v>
      </c>
      <c r="AO164" s="1829">
        <f t="shared" si="376"/>
        <v>5.7393499999999866</v>
      </c>
      <c r="AP164" s="1829">
        <f t="shared" si="376"/>
        <v>6.759750000000043</v>
      </c>
      <c r="AQ164" s="1829">
        <f t="shared" si="376"/>
        <v>2.0901499999999809</v>
      </c>
      <c r="AR164" s="1829">
        <f t="shared" si="376"/>
        <v>7.7849499999999789</v>
      </c>
      <c r="AS164" s="1829">
        <f t="shared" si="376"/>
        <v>5.6827322520000036</v>
      </c>
      <c r="AT164" s="1829">
        <f t="shared" si="376"/>
        <v>4.5481916639999778</v>
      </c>
      <c r="AU164" s="1826"/>
      <c r="AW164" s="859"/>
      <c r="AX164" s="859"/>
      <c r="AY164" s="859"/>
      <c r="AZ164" s="859"/>
      <c r="BA164" s="859"/>
      <c r="BB164" s="859"/>
      <c r="BC164" s="859"/>
      <c r="BD164" s="859"/>
      <c r="BE164" s="859"/>
      <c r="BF164" s="859"/>
      <c r="BG164" s="859"/>
    </row>
    <row r="165" spans="33:60" x14ac:dyDescent="0.15">
      <c r="AG165" s="799"/>
      <c r="AH165" s="1830" t="str">
        <f>"∆ "&amp;RIGHT(AH161,18)</f>
        <v>∆ AN Skatt Avvecklad</v>
      </c>
      <c r="AI165" s="1830"/>
      <c r="AJ165" s="1830"/>
      <c r="AK165" s="1831">
        <f t="shared" ref="AK165:AT165" si="377">AK161-AK157</f>
        <v>0</v>
      </c>
      <c r="AL165" s="1831">
        <f t="shared" si="377"/>
        <v>0</v>
      </c>
      <c r="AM165" s="1831">
        <f t="shared" si="377"/>
        <v>0</v>
      </c>
      <c r="AN165" s="1831">
        <f t="shared" si="377"/>
        <v>0</v>
      </c>
      <c r="AO165" s="1831">
        <f t="shared" si="377"/>
        <v>-5.3999999999999937E-2</v>
      </c>
      <c r="AP165" s="1831">
        <f t="shared" si="377"/>
        <v>-3.300000000000014E-2</v>
      </c>
      <c r="AQ165" s="1831">
        <f t="shared" si="377"/>
        <v>0.10100000000000042</v>
      </c>
      <c r="AR165" s="1831">
        <f t="shared" si="377"/>
        <v>-0.31400000000000006</v>
      </c>
      <c r="AS165" s="1831">
        <f t="shared" si="377"/>
        <v>-3.499999999999992E-2</v>
      </c>
      <c r="AT165" s="1831">
        <f t="shared" si="377"/>
        <v>-4.8000000000000098E-2</v>
      </c>
      <c r="AU165" s="1826"/>
      <c r="AW165" s="870"/>
      <c r="AX165" s="870"/>
      <c r="AY165" s="870"/>
      <c r="AZ165" s="870"/>
      <c r="BA165" s="870"/>
      <c r="BB165" s="870"/>
      <c r="BC165" s="870"/>
      <c r="BD165" s="870"/>
      <c r="BE165" s="870"/>
      <c r="BF165" s="870"/>
      <c r="BG165" s="870"/>
      <c r="BH165" s="864"/>
    </row>
    <row r="166" spans="33:60" x14ac:dyDescent="0.15">
      <c r="AG166" s="799"/>
      <c r="AH166" s="1825" t="str">
        <f>"∆ "&amp;RIGHT(AH162,18)</f>
        <v>∆ RAN Skatt Total</v>
      </c>
      <c r="AI166" s="1825"/>
      <c r="AJ166" s="1825"/>
      <c r="AK166" s="1832">
        <f t="shared" ref="AK166:AT166" si="378">AK162-AK158</f>
        <v>4.7716849999999962</v>
      </c>
      <c r="AL166" s="1832">
        <f t="shared" si="378"/>
        <v>4.6812849999999893</v>
      </c>
      <c r="AM166" s="1832">
        <f t="shared" si="378"/>
        <v>4.7964850000000396</v>
      </c>
      <c r="AN166" s="1832">
        <f t="shared" si="378"/>
        <v>10.411484999999949</v>
      </c>
      <c r="AO166" s="1832">
        <f t="shared" si="378"/>
        <v>5.6853499999999872</v>
      </c>
      <c r="AP166" s="1832">
        <f t="shared" si="378"/>
        <v>6.7267500000000435</v>
      </c>
      <c r="AQ166" s="1832">
        <f t="shared" si="378"/>
        <v>2.1911499999999808</v>
      </c>
      <c r="AR166" s="1832">
        <f t="shared" si="378"/>
        <v>7.4709499999999789</v>
      </c>
      <c r="AS166" s="1832">
        <f t="shared" si="378"/>
        <v>5.6477322520000044</v>
      </c>
      <c r="AT166" s="1832">
        <f t="shared" si="378"/>
        <v>4.5001916639999777</v>
      </c>
      <c r="AU166" s="1826"/>
      <c r="AW166" s="870"/>
      <c r="AX166" s="870"/>
      <c r="AY166" s="870"/>
      <c r="AZ166" s="870"/>
      <c r="BA166" s="870"/>
      <c r="BB166" s="870"/>
      <c r="BC166" s="870"/>
      <c r="BD166" s="870"/>
      <c r="BE166" s="870"/>
      <c r="BF166" s="870"/>
      <c r="BG166" s="870"/>
      <c r="BH166" s="864"/>
    </row>
    <row r="167" spans="33:60" x14ac:dyDescent="0.15">
      <c r="AG167" s="799"/>
      <c r="AH167" s="799"/>
      <c r="AI167" s="799"/>
      <c r="AJ167" s="799"/>
      <c r="AK167" s="1829"/>
      <c r="AL167" s="1829"/>
      <c r="AM167" s="1829"/>
      <c r="AN167" s="1829"/>
      <c r="AO167" s="1829"/>
      <c r="AP167" s="1829"/>
      <c r="AQ167" s="1829"/>
      <c r="AR167" s="1829"/>
      <c r="AS167" s="1829"/>
      <c r="AT167" s="1829"/>
      <c r="AU167" s="1826"/>
      <c r="AW167" s="859"/>
      <c r="AX167" s="859"/>
      <c r="AY167" s="859"/>
      <c r="AZ167" s="859"/>
      <c r="BA167" s="859"/>
      <c r="BB167" s="859"/>
      <c r="BC167" s="859"/>
      <c r="BD167" s="859"/>
      <c r="BE167" s="859"/>
      <c r="BF167" s="859"/>
      <c r="BG167" s="859"/>
    </row>
    <row r="168" spans="33:60" x14ac:dyDescent="0.15">
      <c r="AG168" s="799"/>
      <c r="AH168" s="1833" t="s">
        <v>518</v>
      </c>
      <c r="AI168" s="1833"/>
      <c r="AJ168" s="1833"/>
      <c r="AK168" s="1834">
        <v>0.20599999999999999</v>
      </c>
      <c r="AL168" s="1834">
        <v>0.20599999999999999</v>
      </c>
      <c r="AM168" s="1834">
        <v>0.20599999999999999</v>
      </c>
      <c r="AN168" s="1834">
        <v>0.20599999999999999</v>
      </c>
      <c r="AO168" s="1834">
        <v>0.20599999999999999</v>
      </c>
      <c r="AP168" s="1834">
        <v>0.20599999999999999</v>
      </c>
      <c r="AQ168" s="1834">
        <v>0.20599999999999999</v>
      </c>
      <c r="AR168" s="1834">
        <v>0.20599999999999999</v>
      </c>
      <c r="AS168" s="1834">
        <v>0.20599999999999999</v>
      </c>
      <c r="AT168" s="1834">
        <v>0.20599999999999999</v>
      </c>
      <c r="AU168" s="1826"/>
      <c r="AW168" s="859"/>
      <c r="AX168" s="859"/>
      <c r="AY168" s="859"/>
      <c r="AZ168" s="859"/>
      <c r="BA168" s="859"/>
      <c r="BB168" s="859"/>
      <c r="BC168" s="859"/>
      <c r="BD168" s="859"/>
      <c r="BE168" s="859"/>
      <c r="BF168" s="859"/>
      <c r="BG168" s="859"/>
    </row>
    <row r="169" spans="33:60" ht="9.75" thickBot="1" x14ac:dyDescent="0.2">
      <c r="AG169" s="799"/>
      <c r="AH169" s="1835" t="s">
        <v>519</v>
      </c>
      <c r="AI169" s="1835"/>
      <c r="AJ169" s="1835"/>
      <c r="AK169" s="1836"/>
      <c r="AL169" s="1836"/>
      <c r="AM169" s="1836"/>
      <c r="AN169" s="1836"/>
      <c r="AO169" s="1836"/>
      <c r="AP169" s="1836"/>
      <c r="AQ169" s="1836"/>
      <c r="AR169" s="1836"/>
      <c r="AS169" s="1836"/>
      <c r="AT169" s="1836"/>
      <c r="AU169" s="1826"/>
      <c r="AV169" s="864"/>
      <c r="AW169" s="859"/>
      <c r="AX169" s="859"/>
      <c r="AY169" s="859"/>
      <c r="AZ169" s="859"/>
      <c r="BA169" s="859"/>
      <c r="BB169" s="859"/>
      <c r="BC169" s="859"/>
      <c r="BD169" s="859"/>
      <c r="BE169" s="859"/>
      <c r="BF169" s="859"/>
      <c r="BG169" s="859"/>
    </row>
    <row r="170" spans="33:60" ht="9.75" thickTop="1" x14ac:dyDescent="0.15">
      <c r="AG170" s="799"/>
      <c r="AH170" s="799"/>
      <c r="AI170" s="799"/>
      <c r="AJ170" s="799"/>
      <c r="AK170" s="1829"/>
      <c r="AL170" s="1829"/>
      <c r="AM170" s="1829"/>
      <c r="AN170" s="1829"/>
      <c r="AO170" s="1829"/>
      <c r="AP170" s="1829"/>
      <c r="AQ170" s="1829"/>
      <c r="AR170" s="1829"/>
      <c r="AS170" s="1829"/>
      <c r="AT170" s="1829"/>
      <c r="AU170" s="1826"/>
      <c r="AV170" s="864"/>
      <c r="AW170" s="859"/>
      <c r="AX170" s="859"/>
      <c r="AY170" s="859"/>
      <c r="AZ170" s="859"/>
      <c r="BA170" s="859"/>
      <c r="BB170" s="859"/>
      <c r="BC170" s="859"/>
      <c r="BD170" s="859"/>
      <c r="BE170" s="859"/>
      <c r="BF170" s="859"/>
      <c r="BG170" s="859"/>
    </row>
    <row r="171" spans="33:60" x14ac:dyDescent="0.15">
      <c r="AG171" s="799"/>
      <c r="AH171" s="799"/>
      <c r="AI171" s="799"/>
      <c r="AJ171" s="799"/>
      <c r="AK171" s="799"/>
      <c r="AL171" s="799"/>
      <c r="AM171" s="799"/>
      <c r="AN171" s="799"/>
      <c r="AO171" s="799"/>
      <c r="AP171" s="799"/>
      <c r="AQ171" s="799"/>
      <c r="AR171" s="799"/>
      <c r="AS171" s="799"/>
      <c r="AT171" s="799"/>
      <c r="AU171" s="1826"/>
      <c r="AW171" s="859"/>
      <c r="AX171" s="859"/>
      <c r="AY171" s="859"/>
      <c r="AZ171" s="859"/>
      <c r="BA171" s="859"/>
      <c r="BB171" s="859"/>
      <c r="BC171" s="859"/>
      <c r="BD171" s="859"/>
      <c r="BE171" s="859"/>
      <c r="BF171" s="859"/>
      <c r="BG171" s="859"/>
    </row>
    <row r="172" spans="33:60" x14ac:dyDescent="0.15">
      <c r="AG172" s="799"/>
      <c r="AH172" s="1825" t="s">
        <v>520</v>
      </c>
      <c r="AI172" s="799"/>
      <c r="AJ172" s="799"/>
      <c r="AK172" s="799"/>
      <c r="AL172" s="799"/>
      <c r="AM172" s="799"/>
      <c r="AN172" s="799"/>
      <c r="AO172" s="799"/>
      <c r="AP172" s="799"/>
      <c r="AQ172" s="799"/>
      <c r="AR172" s="799"/>
      <c r="AS172" s="799"/>
      <c r="AT172" s="799"/>
      <c r="AU172" s="1826"/>
      <c r="AW172" s="859"/>
      <c r="AX172" s="859"/>
      <c r="AY172" s="859"/>
      <c r="AZ172" s="859"/>
      <c r="BA172" s="859"/>
      <c r="BB172" s="859"/>
      <c r="BC172" s="859"/>
      <c r="BD172" s="859"/>
      <c r="BE172" s="859"/>
      <c r="BF172" s="859"/>
      <c r="BG172" s="859"/>
    </row>
    <row r="173" spans="33:60" x14ac:dyDescent="0.15">
      <c r="AG173" s="799"/>
      <c r="AH173" s="1827"/>
      <c r="AI173" s="1827"/>
      <c r="AJ173" s="1827"/>
      <c r="AK173" s="1828">
        <f t="shared" ref="AK173:AS173" si="379">AK$44</f>
        <v>2403</v>
      </c>
      <c r="AL173" s="1828">
        <f t="shared" si="379"/>
        <v>2406</v>
      </c>
      <c r="AM173" s="1828">
        <f t="shared" si="379"/>
        <v>2409</v>
      </c>
      <c r="AN173" s="1828">
        <f t="shared" si="379"/>
        <v>2412</v>
      </c>
      <c r="AO173" s="1828">
        <f t="shared" si="379"/>
        <v>2503</v>
      </c>
      <c r="AP173" s="1828">
        <f t="shared" si="379"/>
        <v>2506</v>
      </c>
      <c r="AQ173" s="1828">
        <f t="shared" si="379"/>
        <v>2509</v>
      </c>
      <c r="AR173" s="1828">
        <f t="shared" si="379"/>
        <v>2512</v>
      </c>
      <c r="AS173" s="1828">
        <f t="shared" si="379"/>
        <v>2603</v>
      </c>
      <c r="AT173" s="1828"/>
      <c r="AU173" s="1826"/>
      <c r="AW173" s="859"/>
      <c r="AX173" s="859"/>
      <c r="AY173" s="859"/>
      <c r="AZ173" s="859"/>
      <c r="BA173" s="859"/>
      <c r="BB173" s="859"/>
      <c r="BC173" s="859"/>
      <c r="BD173" s="859"/>
      <c r="BE173" s="859"/>
      <c r="BF173" s="859"/>
      <c r="BG173" s="859"/>
    </row>
    <row r="174" spans="33:60" x14ac:dyDescent="0.15">
      <c r="AG174" s="799"/>
      <c r="AH174" s="1837" t="str">
        <f>AH58</f>
        <v>MBs aktieägare</v>
      </c>
      <c r="AI174" s="1837"/>
      <c r="AJ174" s="1837"/>
      <c r="AK174" s="1838">
        <f t="shared" ref="AK174:AS174" si="380">AK58*AK$176</f>
        <v>0</v>
      </c>
      <c r="AL174" s="1838">
        <f t="shared" si="380"/>
        <v>-9.8000000000000004E-2</v>
      </c>
      <c r="AM174" s="1838">
        <f t="shared" si="380"/>
        <v>0</v>
      </c>
      <c r="AN174" s="1838">
        <f t="shared" si="380"/>
        <v>0</v>
      </c>
      <c r="AO174" s="1838">
        <f t="shared" si="380"/>
        <v>0</v>
      </c>
      <c r="AP174" s="1838">
        <f t="shared" si="380"/>
        <v>0</v>
      </c>
      <c r="AQ174" s="1838">
        <f t="shared" si="380"/>
        <v>0</v>
      </c>
      <c r="AR174" s="1838">
        <f t="shared" si="380"/>
        <v>0</v>
      </c>
      <c r="AS174" s="1838">
        <f t="shared" si="380"/>
        <v>0</v>
      </c>
      <c r="AT174" s="1838"/>
      <c r="AU174" s="1826"/>
      <c r="AW174" s="859"/>
      <c r="AX174" s="859"/>
      <c r="AY174" s="859"/>
      <c r="AZ174" s="859"/>
      <c r="BA174" s="859"/>
      <c r="BB174" s="859"/>
      <c r="BC174" s="859"/>
      <c r="BD174" s="859"/>
      <c r="BE174" s="859"/>
      <c r="BF174" s="859"/>
      <c r="BG174" s="859"/>
    </row>
    <row r="175" spans="33:60" x14ac:dyDescent="0.15">
      <c r="AG175" s="799"/>
      <c r="AH175" s="1839" t="str">
        <f>AH59</f>
        <v>Innehav utan bestämmande inflytande</v>
      </c>
      <c r="AI175" s="1839"/>
      <c r="AJ175" s="1839"/>
      <c r="AK175" s="1840">
        <f t="shared" ref="AK175:AS175" si="381">AK59*AK$176</f>
        <v>0</v>
      </c>
      <c r="AL175" s="1840">
        <f t="shared" si="381"/>
        <v>-2E-3</v>
      </c>
      <c r="AM175" s="1840">
        <f t="shared" si="381"/>
        <v>0</v>
      </c>
      <c r="AN175" s="1840">
        <f t="shared" si="381"/>
        <v>0</v>
      </c>
      <c r="AO175" s="1840">
        <f t="shared" si="381"/>
        <v>0</v>
      </c>
      <c r="AP175" s="1840">
        <f t="shared" si="381"/>
        <v>0</v>
      </c>
      <c r="AQ175" s="1840">
        <f t="shared" si="381"/>
        <v>0</v>
      </c>
      <c r="AR175" s="1840">
        <f t="shared" si="381"/>
        <v>0</v>
      </c>
      <c r="AS175" s="1840">
        <f t="shared" si="381"/>
        <v>0</v>
      </c>
      <c r="AT175" s="1841"/>
      <c r="AU175" s="1826"/>
      <c r="AW175" s="859"/>
      <c r="AX175" s="859"/>
      <c r="AY175" s="859"/>
      <c r="AZ175" s="859"/>
      <c r="BA175" s="859"/>
      <c r="BB175" s="859"/>
      <c r="BC175" s="859"/>
      <c r="BD175" s="859"/>
      <c r="BE175" s="859"/>
      <c r="BF175" s="859"/>
      <c r="BG175" s="859"/>
    </row>
    <row r="176" spans="33:60" x14ac:dyDescent="0.15">
      <c r="AG176" s="799"/>
      <c r="AH176" s="1842" t="s">
        <v>521</v>
      </c>
      <c r="AI176" s="1842"/>
      <c r="AJ176" s="1842"/>
      <c r="AK176" s="1832"/>
      <c r="AL176" s="1832">
        <v>-0.1</v>
      </c>
      <c r="AM176" s="1832"/>
      <c r="AN176" s="1832"/>
      <c r="AO176" s="1832"/>
      <c r="AP176" s="1832"/>
      <c r="AQ176" s="1832"/>
      <c r="AR176" s="1832"/>
      <c r="AS176" s="1832"/>
      <c r="AT176" s="1832"/>
      <c r="AU176" s="1826"/>
      <c r="AW176" s="859"/>
      <c r="AX176" s="859"/>
      <c r="AY176" s="859"/>
      <c r="AZ176" s="859"/>
      <c r="BA176" s="859"/>
      <c r="BB176" s="859"/>
      <c r="BC176" s="859"/>
      <c r="BD176" s="859"/>
      <c r="BE176" s="859"/>
      <c r="BF176" s="859"/>
      <c r="BG176" s="859"/>
    </row>
    <row r="177" spans="33:60" x14ac:dyDescent="0.15">
      <c r="AG177" s="799"/>
      <c r="AH177" s="1843"/>
      <c r="AI177" s="1843"/>
      <c r="AJ177" s="1843"/>
      <c r="AK177" s="1843"/>
      <c r="AL177" s="1843"/>
      <c r="AM177" s="1843"/>
      <c r="AN177" s="1843"/>
      <c r="AO177" s="1843"/>
      <c r="AP177" s="1843"/>
      <c r="AQ177" s="1843"/>
      <c r="AR177" s="1843"/>
      <c r="AS177" s="1843"/>
      <c r="AT177" s="1843"/>
      <c r="AU177" s="1826"/>
      <c r="AW177" s="859"/>
      <c r="AX177" s="859"/>
      <c r="AY177" s="859"/>
      <c r="AZ177" s="859"/>
      <c r="BA177" s="859"/>
      <c r="BB177" s="859"/>
      <c r="BC177" s="859"/>
      <c r="BD177" s="859"/>
      <c r="BE177" s="859"/>
      <c r="BF177" s="859"/>
      <c r="BG177" s="859"/>
    </row>
    <row r="178" spans="33:60" x14ac:dyDescent="0.15">
      <c r="AW178" s="864"/>
      <c r="AX178" s="859"/>
      <c r="AY178" s="859"/>
      <c r="AZ178" s="859"/>
      <c r="BA178" s="859"/>
      <c r="BB178" s="859"/>
      <c r="BC178" s="859"/>
      <c r="BD178" s="859"/>
      <c r="BE178" s="859"/>
      <c r="BF178" s="859"/>
      <c r="BG178" s="859"/>
    </row>
    <row r="179" spans="33:60" x14ac:dyDescent="0.15">
      <c r="AX179" s="859"/>
      <c r="AY179" s="859"/>
      <c r="AZ179" s="859"/>
      <c r="BA179" s="859"/>
      <c r="BB179" s="859"/>
      <c r="BC179" s="859"/>
      <c r="BD179" s="859"/>
      <c r="BE179" s="859"/>
      <c r="BF179" s="859"/>
      <c r="BG179" s="859"/>
    </row>
    <row r="180" spans="33:60" x14ac:dyDescent="0.15">
      <c r="AX180" s="859"/>
      <c r="AY180" s="859"/>
      <c r="AZ180" s="859"/>
      <c r="BA180" s="859"/>
      <c r="BB180" s="859"/>
      <c r="BC180" s="859"/>
      <c r="BD180" s="859"/>
      <c r="BE180" s="859"/>
      <c r="BF180" s="859"/>
      <c r="BG180" s="859"/>
    </row>
    <row r="181" spans="33:60" x14ac:dyDescent="0.15">
      <c r="AX181" s="870"/>
      <c r="AY181" s="870"/>
      <c r="AZ181" s="870"/>
      <c r="BA181" s="870"/>
      <c r="BB181" s="870"/>
      <c r="BC181" s="870"/>
      <c r="BD181" s="870"/>
      <c r="BE181" s="870"/>
      <c r="BF181" s="870"/>
      <c r="BG181" s="870"/>
      <c r="BH181" s="875"/>
    </row>
    <row r="182" spans="33:60" x14ac:dyDescent="0.15">
      <c r="AV182" s="864"/>
      <c r="AW182" s="859"/>
      <c r="AX182" s="859"/>
      <c r="AY182" s="859"/>
      <c r="AZ182" s="859"/>
      <c r="BA182" s="859"/>
      <c r="BB182" s="859"/>
      <c r="BC182" s="859"/>
      <c r="BD182" s="859"/>
      <c r="BE182" s="859"/>
      <c r="BF182" s="859"/>
      <c r="BG182" s="859"/>
      <c r="BH182" s="875"/>
    </row>
    <row r="183" spans="33:60" x14ac:dyDescent="0.15">
      <c r="AW183" s="859"/>
      <c r="AX183" s="859"/>
      <c r="AY183" s="859"/>
      <c r="AZ183" s="859"/>
      <c r="BA183" s="859"/>
      <c r="BB183" s="859"/>
      <c r="BC183" s="859"/>
      <c r="BD183" s="859"/>
      <c r="BE183" s="859"/>
      <c r="BF183" s="859"/>
      <c r="BG183" s="859"/>
      <c r="BH183" s="875"/>
    </row>
    <row r="184" spans="33:60" x14ac:dyDescent="0.15">
      <c r="AW184" s="859"/>
      <c r="AX184" s="859"/>
      <c r="AY184" s="859"/>
      <c r="AZ184" s="859"/>
      <c r="BA184" s="859"/>
      <c r="BB184" s="859"/>
      <c r="BC184" s="859"/>
      <c r="BD184" s="859"/>
      <c r="BE184" s="859"/>
      <c r="BF184" s="859"/>
      <c r="BG184" s="859"/>
      <c r="BH184" s="875"/>
    </row>
    <row r="185" spans="33:60" x14ac:dyDescent="0.15">
      <c r="AW185" s="859"/>
      <c r="AX185" s="859"/>
      <c r="AY185" s="859"/>
      <c r="AZ185" s="859"/>
      <c r="BA185" s="859"/>
      <c r="BB185" s="859"/>
      <c r="BC185" s="859"/>
      <c r="BD185" s="859"/>
      <c r="BE185" s="859"/>
      <c r="BF185" s="859"/>
      <c r="BG185" s="859"/>
      <c r="BH185" s="875"/>
    </row>
    <row r="186" spans="33:60" x14ac:dyDescent="0.15">
      <c r="AU186" s="867"/>
      <c r="AW186" s="859"/>
      <c r="AX186" s="859"/>
      <c r="AY186" s="859"/>
      <c r="AZ186" s="859"/>
      <c r="BA186" s="859"/>
      <c r="BB186" s="859"/>
      <c r="BC186" s="859"/>
      <c r="BD186" s="859"/>
      <c r="BE186" s="859"/>
      <c r="BF186" s="859"/>
      <c r="BG186" s="859"/>
      <c r="BH186" s="875"/>
    </row>
    <row r="187" spans="33:60" x14ac:dyDescent="0.15">
      <c r="AU187" s="396"/>
      <c r="AW187" s="859"/>
      <c r="AX187" s="859"/>
      <c r="AY187" s="859"/>
      <c r="AZ187" s="859"/>
      <c r="BA187" s="859"/>
      <c r="BB187" s="859"/>
      <c r="BC187" s="859"/>
      <c r="BD187" s="859"/>
      <c r="BE187" s="859"/>
      <c r="BF187" s="859"/>
      <c r="BG187" s="859"/>
      <c r="BH187" s="875"/>
    </row>
    <row r="188" spans="33:60" x14ac:dyDescent="0.15">
      <c r="AW188" s="859"/>
      <c r="AX188" s="859"/>
      <c r="AY188" s="859"/>
      <c r="AZ188" s="859"/>
      <c r="BA188" s="859"/>
      <c r="BB188" s="859"/>
      <c r="BC188" s="859"/>
      <c r="BD188" s="859"/>
      <c r="BE188" s="859"/>
      <c r="BF188" s="859"/>
      <c r="BG188" s="859"/>
      <c r="BH188" s="875"/>
    </row>
    <row r="189" spans="33:60" x14ac:dyDescent="0.15">
      <c r="AW189" s="859"/>
      <c r="AX189" s="859"/>
      <c r="AY189" s="859"/>
      <c r="AZ189" s="859"/>
      <c r="BA189" s="859"/>
      <c r="BB189" s="859"/>
      <c r="BC189" s="859"/>
      <c r="BD189" s="859"/>
      <c r="BE189" s="859"/>
      <c r="BF189" s="859"/>
      <c r="BG189" s="859"/>
      <c r="BH189" s="875"/>
    </row>
    <row r="190" spans="33:60" x14ac:dyDescent="0.15">
      <c r="AW190" s="859"/>
      <c r="AX190" s="859"/>
      <c r="AY190" s="859"/>
      <c r="AZ190" s="859"/>
      <c r="BA190" s="859"/>
      <c r="BB190" s="859"/>
      <c r="BC190" s="859"/>
      <c r="BD190" s="859"/>
      <c r="BE190" s="859"/>
      <c r="BF190" s="859"/>
      <c r="BG190" s="859"/>
      <c r="BH190" s="875"/>
    </row>
    <row r="191" spans="33:60" x14ac:dyDescent="0.15">
      <c r="AW191" s="859"/>
      <c r="AX191" s="859"/>
      <c r="AY191" s="859"/>
      <c r="AZ191" s="859"/>
      <c r="BA191" s="859"/>
      <c r="BB191" s="859"/>
      <c r="BC191" s="859"/>
      <c r="BD191" s="859"/>
      <c r="BE191" s="859"/>
      <c r="BF191" s="859"/>
      <c r="BG191" s="859"/>
      <c r="BH191" s="875"/>
    </row>
    <row r="192" spans="33:60" x14ac:dyDescent="0.15">
      <c r="AW192" s="859"/>
      <c r="AX192" s="859"/>
      <c r="AY192" s="859"/>
      <c r="AZ192" s="859"/>
      <c r="BA192" s="859"/>
      <c r="BB192" s="859"/>
      <c r="BC192" s="859"/>
      <c r="BD192" s="859"/>
      <c r="BE192" s="859"/>
      <c r="BF192" s="859"/>
      <c r="BG192" s="859"/>
      <c r="BH192" s="875"/>
    </row>
    <row r="193" spans="49:60" x14ac:dyDescent="0.15">
      <c r="AW193" s="859"/>
      <c r="AX193" s="859"/>
      <c r="AY193" s="859"/>
      <c r="AZ193" s="859"/>
      <c r="BA193" s="859"/>
      <c r="BB193" s="859"/>
      <c r="BC193" s="859"/>
      <c r="BD193" s="859"/>
      <c r="BE193" s="859"/>
      <c r="BF193" s="859"/>
      <c r="BG193" s="859"/>
      <c r="BH193" s="875"/>
    </row>
  </sheetData>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4155-30FD-43F9-929E-5AAA237D71B7}">
  <sheetPr>
    <tabColor rgb="FFFF5050"/>
  </sheetPr>
  <dimension ref="A1:R13"/>
  <sheetViews>
    <sheetView workbookViewId="0"/>
    <sheetView workbookViewId="1"/>
  </sheetViews>
  <sheetFormatPr defaultColWidth="9.140625" defaultRowHeight="15" outlineLevelCol="1" x14ac:dyDescent="0.25"/>
  <cols>
    <col min="1" max="1" width="43.7109375" style="22" customWidth="1"/>
    <col min="2" max="2" width="4.7109375" style="22" customWidth="1"/>
    <col min="3" max="4" width="8.140625" style="22" customWidth="1" outlineLevel="1"/>
    <col min="5" max="6" width="8.140625" style="22" customWidth="1"/>
    <col min="7" max="7" width="8.140625" style="22" hidden="1" customWidth="1" outlineLevel="1"/>
    <col min="8" max="8" width="9.140625" style="22" hidden="1" customWidth="1" outlineLevel="1"/>
    <col min="9" max="9" width="9.140625" style="22" collapsed="1"/>
    <col min="10" max="10" width="3" style="22" customWidth="1"/>
    <col min="11" max="12" width="9.140625" style="22"/>
    <col min="13" max="13" width="36.7109375" style="22" customWidth="1"/>
    <col min="14" max="14" width="5.42578125" style="22" customWidth="1"/>
    <col min="15" max="16384" width="9.140625" style="22"/>
  </cols>
  <sheetData>
    <row r="1" spans="1:18" s="2" customFormat="1" ht="11.25" customHeight="1" x14ac:dyDescent="0.2">
      <c r="A1" s="1" t="s">
        <v>522</v>
      </c>
      <c r="B1" s="1"/>
      <c r="J1" s="2" t="s">
        <v>0</v>
      </c>
      <c r="K1" s="2">
        <v>43</v>
      </c>
      <c r="M1" s="209" t="s">
        <v>523</v>
      </c>
      <c r="N1" s="1"/>
    </row>
    <row r="2" spans="1:18" s="2" customFormat="1" ht="11.25" customHeight="1" x14ac:dyDescent="0.15">
      <c r="A2" s="3"/>
      <c r="B2" s="3"/>
      <c r="C2" s="4" t="str">
        <f>+[2]rapkvart!D87</f>
        <v>Kvartal 2</v>
      </c>
      <c r="D2" s="4" t="str">
        <f>+[2]rapkvart!E87</f>
        <v>Kvartal 2</v>
      </c>
      <c r="E2" s="4" t="str">
        <f>+[2]rapkvart!F87</f>
        <v>Kvartal 1-2</v>
      </c>
      <c r="F2" s="4" t="str">
        <f>+[2]rapkvart!G87</f>
        <v>Kvartal 1-2</v>
      </c>
      <c r="G2" s="4"/>
      <c r="J2" s="2" t="s">
        <v>1</v>
      </c>
      <c r="K2" s="2">
        <v>4</v>
      </c>
      <c r="M2" s="3"/>
      <c r="N2" s="3"/>
      <c r="O2" s="4" t="s">
        <v>524</v>
      </c>
      <c r="P2" s="4" t="s">
        <v>524</v>
      </c>
      <c r="Q2" s="4" t="s">
        <v>525</v>
      </c>
      <c r="R2" s="4" t="s">
        <v>525</v>
      </c>
    </row>
    <row r="3" spans="1:18" s="2" customFormat="1" ht="9" customHeight="1" x14ac:dyDescent="0.15">
      <c r="A3" s="36" t="str">
        <f>+[2]rapkvart!B88</f>
        <v>Mkr</v>
      </c>
      <c r="B3" s="36" t="str">
        <f>+[2]rapkvart!$C$102</f>
        <v>Not</v>
      </c>
      <c r="C3" s="37">
        <f>+[2]rapkvart!D88</f>
        <v>2026</v>
      </c>
      <c r="D3" s="37">
        <f>+[2]rapkvart!E88</f>
        <v>2025</v>
      </c>
      <c r="E3" s="37">
        <f>+[2]rapkvart!F88</f>
        <v>2026</v>
      </c>
      <c r="F3" s="37">
        <f>+[2]rapkvart!G88</f>
        <v>2025</v>
      </c>
      <c r="G3" s="37">
        <f>+[2]rapkvart!I88</f>
        <v>2025</v>
      </c>
      <c r="M3" s="36" t="s">
        <v>218</v>
      </c>
      <c r="N3" s="36" t="s">
        <v>219</v>
      </c>
      <c r="O3" s="37">
        <v>2025</v>
      </c>
      <c r="P3" s="37">
        <v>2024</v>
      </c>
      <c r="Q3" s="37">
        <v>2025</v>
      </c>
      <c r="R3" s="37">
        <v>2024</v>
      </c>
    </row>
    <row r="4" spans="1:18" s="2" customFormat="1" ht="9" customHeight="1" x14ac:dyDescent="0.15">
      <c r="A4" s="6" t="str">
        <f>+[2]rapkvart!B89</f>
        <v>Totalt eget kapital vid periodens början</v>
      </c>
      <c r="B4" s="6"/>
      <c r="C4" s="7">
        <f>+[2]rapkvart!D89</f>
        <v>737.30000000000007</v>
      </c>
      <c r="D4" s="8">
        <f>+[2]rapkvart!E89</f>
        <v>722.1</v>
      </c>
      <c r="E4" s="7">
        <f>+[2]rapkvart!F89</f>
        <v>714.80000000000007</v>
      </c>
      <c r="F4" s="8">
        <f>+[2]rapkvart!G89</f>
        <v>674.3</v>
      </c>
      <c r="G4" s="8">
        <f>+[2]rapkvart!I89</f>
        <v>674.3</v>
      </c>
      <c r="M4" s="32" t="str">
        <f>[2]rapkvart!$A$89</f>
        <v>Opening balance, total equity</v>
      </c>
      <c r="N4" s="6"/>
      <c r="O4" s="7">
        <v>715.3</v>
      </c>
      <c r="P4" s="8">
        <v>665.5999999999998</v>
      </c>
      <c r="Q4" s="7">
        <v>674.3</v>
      </c>
      <c r="R4" s="8">
        <v>615.49999999999977</v>
      </c>
    </row>
    <row r="5" spans="1:18" s="2" customFormat="1" ht="9.75" customHeight="1" x14ac:dyDescent="0.15">
      <c r="A5" s="1349" t="str">
        <f>+[2]rapkvart!B90</f>
        <v>Förändringar hänförliga till moderbolagets ägare:</v>
      </c>
      <c r="B5" s="1349"/>
      <c r="C5" s="13"/>
      <c r="D5" s="14"/>
      <c r="E5" s="13"/>
      <c r="F5" s="14"/>
      <c r="G5" s="14"/>
      <c r="M5" s="1349" t="str">
        <f>[2]rapkvart!$A$90</f>
        <v>Changes attributable to owners of the parent:</v>
      </c>
      <c r="N5" s="1349"/>
      <c r="O5" s="13"/>
      <c r="P5" s="14"/>
      <c r="Q5" s="13"/>
      <c r="R5" s="14"/>
    </row>
    <row r="6" spans="1:18" s="2" customFormat="1" ht="9" customHeight="1" x14ac:dyDescent="0.15">
      <c r="A6" s="20" t="str">
        <f>+[2]rapkvart!B91</f>
        <v>Periodens totalresultat</v>
      </c>
      <c r="B6" s="20"/>
      <c r="C6" s="7">
        <f>+[2]rapkvart!D91</f>
        <v>66.70000000000006</v>
      </c>
      <c r="D6" s="8">
        <f>+[2]rapkvart!E91</f>
        <v>10.399999999999864</v>
      </c>
      <c r="E6" s="7">
        <f>+[2]rapkvart!F91</f>
        <v>96.700000000000045</v>
      </c>
      <c r="F6" s="8">
        <f>+[2]rapkvart!G91</f>
        <v>61.799999999999926</v>
      </c>
      <c r="G6" s="8">
        <f>+[2]rapkvart!I91</f>
        <v>78.100000000000122</v>
      </c>
      <c r="M6" s="20" t="str">
        <f>+[2]rapkvart!$A$91</f>
        <v>Comprehensive income for the period</v>
      </c>
      <c r="N6" s="20"/>
      <c r="O6" s="7">
        <v>-1.2999999999998977</v>
      </c>
      <c r="P6" s="8">
        <v>8.7000000000002444</v>
      </c>
      <c r="Q6" s="7">
        <v>78.100000000000122</v>
      </c>
      <c r="R6" s="8">
        <v>96.300000000000139</v>
      </c>
    </row>
    <row r="7" spans="1:18" s="2" customFormat="1" ht="9" hidden="1" customHeight="1" x14ac:dyDescent="0.15">
      <c r="A7" s="20" t="str">
        <f>+[2]rapkvart!B92</f>
        <v>Förändrad skattesats</v>
      </c>
      <c r="B7" s="20"/>
      <c r="C7" s="9">
        <f>+[2]rapkvart!D92</f>
        <v>0</v>
      </c>
      <c r="D7" s="8">
        <f>+[2]rapkvart!E92</f>
        <v>0</v>
      </c>
      <c r="E7" s="9">
        <f>+[2]rapkvart!F92</f>
        <v>0</v>
      </c>
      <c r="F7" s="8">
        <f>+[2]rapkvart!G92</f>
        <v>0</v>
      </c>
      <c r="G7" s="8">
        <f>+[2]rapkvart!I92</f>
        <v>0</v>
      </c>
      <c r="M7" s="180" t="s">
        <v>526</v>
      </c>
      <c r="N7" s="20"/>
      <c r="O7" s="9">
        <v>0</v>
      </c>
      <c r="P7" s="8">
        <v>0</v>
      </c>
      <c r="Q7" s="9">
        <v>0</v>
      </c>
      <c r="R7" s="8">
        <v>0</v>
      </c>
    </row>
    <row r="8" spans="1:18" s="2" customFormat="1" ht="18.75" customHeight="1" x14ac:dyDescent="0.15">
      <c r="A8" s="1349" t="str">
        <f>+[2]rapkvart!B93</f>
        <v>Förändringar hänförliga till innehav utan bestämmande inflytande:</v>
      </c>
      <c r="B8" s="1349"/>
      <c r="C8" s="13"/>
      <c r="D8" s="14"/>
      <c r="E8" s="13"/>
      <c r="F8" s="14"/>
      <c r="G8" s="14"/>
      <c r="M8" s="1349" t="str">
        <f>+[2]rapkvart!$A$93</f>
        <v>Changes attributable to non-controlling interests:</v>
      </c>
      <c r="N8" s="1349"/>
      <c r="O8" s="13"/>
      <c r="P8" s="14"/>
      <c r="Q8" s="13"/>
      <c r="R8" s="14"/>
    </row>
    <row r="9" spans="1:18" s="2" customFormat="1" ht="9" customHeight="1" x14ac:dyDescent="0.15">
      <c r="A9" s="47" t="str">
        <f>+[2]rapkvart!B94</f>
        <v>Periodens totalresultat</v>
      </c>
      <c r="B9" s="47"/>
      <c r="C9" s="13">
        <f>+[2]rapkvart!D94</f>
        <v>1.5</v>
      </c>
      <c r="D9" s="14">
        <f>+[2]rapkvart!E94</f>
        <v>1.4</v>
      </c>
      <c r="E9" s="13">
        <f>+[2]rapkvart!F94</f>
        <v>2.6</v>
      </c>
      <c r="F9" s="14">
        <f>+[2]rapkvart!G94</f>
        <v>3</v>
      </c>
      <c r="G9" s="14">
        <f>+[2]rapkvart!I94</f>
        <v>4.5999999999999996</v>
      </c>
      <c r="M9" s="47" t="str">
        <f>+[2]rapkvart!$A$94</f>
        <v>Comprehensive income for the period</v>
      </c>
      <c r="N9" s="47"/>
      <c r="O9" s="13">
        <v>0.79999999999999982</v>
      </c>
      <c r="P9" s="14">
        <v>0</v>
      </c>
      <c r="Q9" s="13">
        <v>4.5999999999999996</v>
      </c>
      <c r="R9" s="14">
        <v>6.4</v>
      </c>
    </row>
    <row r="10" spans="1:18" s="2" customFormat="1" ht="9" customHeight="1" x14ac:dyDescent="0.15">
      <c r="A10" s="66" t="str">
        <f>+[2]rapkvart!B95</f>
        <v>Transaktioner med aktieägare</v>
      </c>
      <c r="B10" s="48"/>
      <c r="C10" s="13"/>
      <c r="D10" s="14"/>
      <c r="E10" s="13"/>
      <c r="F10" s="14"/>
      <c r="G10" s="14"/>
      <c r="M10" s="66" t="str">
        <f>+[2]rapkvart!A95</f>
        <v>Transactions with shareholders</v>
      </c>
      <c r="N10" s="48"/>
      <c r="O10" s="13"/>
      <c r="P10" s="14"/>
      <c r="Q10" s="13"/>
      <c r="R10" s="14"/>
    </row>
    <row r="11" spans="1:18" s="2" customFormat="1" ht="9" hidden="1" customHeight="1" x14ac:dyDescent="0.15">
      <c r="A11" s="48" t="str">
        <f>+[2]rapkvart!B96</f>
        <v>Nyemission/Aktieägartillskott</v>
      </c>
      <c r="B11" s="1349"/>
      <c r="C11" s="13">
        <f>+[2]rapkvart!D96</f>
        <v>0</v>
      </c>
      <c r="D11" s="14">
        <f>+[2]rapkvart!E96</f>
        <v>0</v>
      </c>
      <c r="E11" s="13">
        <f>+[2]rapkvart!F96</f>
        <v>0</v>
      </c>
      <c r="F11" s="14">
        <f>+[2]rapkvart!G96</f>
        <v>0</v>
      </c>
      <c r="G11" s="14">
        <f>+[2]rapkvart!I96</f>
        <v>0</v>
      </c>
      <c r="M11" s="1350" t="s">
        <v>527</v>
      </c>
      <c r="N11" s="1349"/>
      <c r="O11" s="13">
        <v>0</v>
      </c>
      <c r="P11" s="14">
        <v>0</v>
      </c>
      <c r="Q11" s="13">
        <v>0</v>
      </c>
      <c r="R11" s="14">
        <v>0</v>
      </c>
    </row>
    <row r="12" spans="1:18" s="2" customFormat="1" ht="9" customHeight="1" thickBot="1" x14ac:dyDescent="0.2">
      <c r="A12" s="38" t="str">
        <f>+[2]rapkvart!B97</f>
        <v>Utdelning</v>
      </c>
      <c r="B12" s="67"/>
      <c r="C12" s="16">
        <f>+[2]rapkvart!D97</f>
        <v>0</v>
      </c>
      <c r="D12" s="17">
        <f>+[2]rapkvart!E97</f>
        <v>-37</v>
      </c>
      <c r="E12" s="16">
        <f>+[2]rapkvart!F97</f>
        <v>-8.6</v>
      </c>
      <c r="F12" s="17">
        <f>+[2]rapkvart!G97</f>
        <v>-42.2</v>
      </c>
      <c r="G12" s="17">
        <f>+[2]rapkvart!I97</f>
        <v>-42.2</v>
      </c>
      <c r="M12" s="38" t="str">
        <f>+[2]rapkvart!$A$97</f>
        <v>Dividend</v>
      </c>
      <c r="N12" s="67"/>
      <c r="O12" s="16">
        <v>0</v>
      </c>
      <c r="P12" s="17">
        <v>0</v>
      </c>
      <c r="Q12" s="16">
        <v>-42.2</v>
      </c>
      <c r="R12" s="17">
        <v>-43.9</v>
      </c>
    </row>
    <row r="13" spans="1:18" ht="15" customHeight="1" x14ac:dyDescent="0.25">
      <c r="A13" s="1" t="str">
        <f>+[2]rapkvart!B98</f>
        <v>Totalt eget kapital vid periodens slut</v>
      </c>
      <c r="B13" s="1"/>
      <c r="C13" s="11">
        <f>+[2]rapkvart!D98</f>
        <v>805.50000000000011</v>
      </c>
      <c r="D13" s="12">
        <f>+[2]rapkvart!E98</f>
        <v>696.89999999999986</v>
      </c>
      <c r="E13" s="11">
        <f>+[2]rapkvart!F98</f>
        <v>805.50000000000011</v>
      </c>
      <c r="F13" s="12">
        <f>+[2]rapkvart!G98</f>
        <v>696.89999999999986</v>
      </c>
      <c r="G13" s="12">
        <f>+[2]rapkvart!I98</f>
        <v>714.80000000000007</v>
      </c>
      <c r="M13" s="1" t="str">
        <f>+[2]rapkvart!$A$98</f>
        <v>Closing balance, total equity</v>
      </c>
      <c r="N13" s="1"/>
      <c r="O13" s="11">
        <v>714.8</v>
      </c>
      <c r="P13" s="12">
        <v>674.30000000000007</v>
      </c>
      <c r="Q13" s="11">
        <v>714.80000000000007</v>
      </c>
      <c r="R13" s="12">
        <v>674.3</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30E74-6F6B-4248-BA66-C06CD3C48F25}">
  <sheetPr>
    <tabColor rgb="FFFF5050"/>
  </sheetPr>
  <dimension ref="A1:R13"/>
  <sheetViews>
    <sheetView workbookViewId="0"/>
    <sheetView workbookViewId="1"/>
  </sheetViews>
  <sheetFormatPr defaultColWidth="9.140625" defaultRowHeight="15" outlineLevelCol="1" x14ac:dyDescent="0.25"/>
  <cols>
    <col min="1" max="1" width="43.7109375" style="22" customWidth="1"/>
    <col min="2" max="2" width="4.7109375" style="22" customWidth="1"/>
    <col min="3" max="4" width="8.140625" style="22" customWidth="1" outlineLevel="1"/>
    <col min="5" max="6" width="8.140625" style="22" customWidth="1"/>
    <col min="7" max="7" width="8.140625" style="22" hidden="1" customWidth="1" outlineLevel="1"/>
    <col min="8" max="8" width="9.140625" style="22" hidden="1" customWidth="1" outlineLevel="1"/>
    <col min="9" max="9" width="9.140625" style="22" collapsed="1"/>
    <col min="10" max="10" width="3" style="22" customWidth="1"/>
    <col min="11" max="12" width="9.140625" style="22"/>
    <col min="13" max="13" width="36.7109375" style="22" customWidth="1"/>
    <col min="14" max="14" width="5.42578125" style="22" customWidth="1"/>
    <col min="15" max="16384" width="9.140625" style="22"/>
  </cols>
  <sheetData>
    <row r="1" spans="1:18" s="2" customFormat="1" ht="11.25" customHeight="1" x14ac:dyDescent="0.2">
      <c r="A1" s="1" t="s">
        <v>522</v>
      </c>
      <c r="B1" s="1"/>
      <c r="J1" s="2" t="s">
        <v>0</v>
      </c>
      <c r="K1" s="2">
        <v>43</v>
      </c>
      <c r="M1" s="209" t="s">
        <v>523</v>
      </c>
      <c r="N1" s="1"/>
    </row>
    <row r="2" spans="1:18" s="2" customFormat="1" ht="11.25" customHeight="1" x14ac:dyDescent="0.15">
      <c r="A2" s="3"/>
      <c r="B2" s="3"/>
      <c r="C2" s="4" t="str">
        <f>+[2]rapkvart!D87</f>
        <v>Kvartal 2</v>
      </c>
      <c r="D2" s="4" t="str">
        <f>+[2]rapkvart!E87</f>
        <v>Kvartal 2</v>
      </c>
      <c r="E2" s="4" t="str">
        <f>+[2]rapkvart!F87</f>
        <v>Kvartal 1-2</v>
      </c>
      <c r="F2" s="4" t="str">
        <f>+[2]rapkvart!G87</f>
        <v>Kvartal 1-2</v>
      </c>
      <c r="G2" s="4"/>
      <c r="J2" s="2" t="s">
        <v>1</v>
      </c>
      <c r="K2" s="2">
        <v>4</v>
      </c>
      <c r="M2" s="3"/>
      <c r="N2" s="3"/>
      <c r="O2" s="4" t="s">
        <v>524</v>
      </c>
      <c r="P2" s="4" t="s">
        <v>524</v>
      </c>
      <c r="Q2" s="4" t="s">
        <v>525</v>
      </c>
      <c r="R2" s="4" t="s">
        <v>525</v>
      </c>
    </row>
    <row r="3" spans="1:18" s="2" customFormat="1" ht="9" customHeight="1" x14ac:dyDescent="0.15">
      <c r="A3" s="36" t="str">
        <f>+[2]rapkvart!B88</f>
        <v>Mkr</v>
      </c>
      <c r="B3" s="36" t="str">
        <f>+[2]rapkvart!$C$102</f>
        <v>Not</v>
      </c>
      <c r="C3" s="37">
        <f>+[2]rapkvart!D88</f>
        <v>2026</v>
      </c>
      <c r="D3" s="37">
        <f>+[2]rapkvart!E88</f>
        <v>2025</v>
      </c>
      <c r="E3" s="37">
        <f>+[2]rapkvart!F88</f>
        <v>2026</v>
      </c>
      <c r="F3" s="37">
        <f>+[2]rapkvart!G88</f>
        <v>2025</v>
      </c>
      <c r="G3" s="37">
        <f>+[2]rapkvart!I88</f>
        <v>2025</v>
      </c>
      <c r="M3" s="36" t="s">
        <v>218</v>
      </c>
      <c r="N3" s="36" t="s">
        <v>219</v>
      </c>
      <c r="O3" s="37">
        <v>2025</v>
      </c>
      <c r="P3" s="37">
        <v>2024</v>
      </c>
      <c r="Q3" s="37">
        <v>2025</v>
      </c>
      <c r="R3" s="37">
        <v>2024</v>
      </c>
    </row>
    <row r="4" spans="1:18" s="2" customFormat="1" ht="9" customHeight="1" x14ac:dyDescent="0.15">
      <c r="A4" s="6" t="str">
        <f>+[2]rapkvart!B89</f>
        <v>Totalt eget kapital vid periodens början</v>
      </c>
      <c r="B4" s="6"/>
      <c r="C4" s="7">
        <f>+[2]rapkvart!D89</f>
        <v>737.30000000000007</v>
      </c>
      <c r="D4" s="8">
        <f>+[2]rapkvart!E89</f>
        <v>722.1</v>
      </c>
      <c r="E4" s="7">
        <f>+[2]rapkvart!F89</f>
        <v>714.80000000000007</v>
      </c>
      <c r="F4" s="8">
        <f>+[2]rapkvart!G89</f>
        <v>674.3</v>
      </c>
      <c r="G4" s="8">
        <f>+[2]rapkvart!I89</f>
        <v>674.3</v>
      </c>
      <c r="M4" s="32" t="str">
        <f>[2]rapkvart!$A$89</f>
        <v>Opening balance, total equity</v>
      </c>
      <c r="N4" s="6"/>
      <c r="O4" s="7">
        <v>715.3</v>
      </c>
      <c r="P4" s="8">
        <v>665.5999999999998</v>
      </c>
      <c r="Q4" s="7">
        <v>674.3</v>
      </c>
      <c r="R4" s="8">
        <v>615.49999999999977</v>
      </c>
    </row>
    <row r="5" spans="1:18" s="2" customFormat="1" ht="9.75" customHeight="1" x14ac:dyDescent="0.15">
      <c r="A5" s="1349" t="str">
        <f>+[2]rapkvart!B90</f>
        <v>Förändringar hänförliga till moderbolagets ägare:</v>
      </c>
      <c r="B5" s="1349"/>
      <c r="C5" s="13"/>
      <c r="D5" s="14"/>
      <c r="E5" s="13"/>
      <c r="F5" s="14"/>
      <c r="G5" s="14"/>
      <c r="M5" s="1349" t="str">
        <f>[2]rapkvart!$A$90</f>
        <v>Changes attributable to owners of the parent:</v>
      </c>
      <c r="N5" s="1349"/>
      <c r="O5" s="13"/>
      <c r="P5" s="14"/>
      <c r="Q5" s="13"/>
      <c r="R5" s="14"/>
    </row>
    <row r="6" spans="1:18" s="2" customFormat="1" ht="9" customHeight="1" x14ac:dyDescent="0.15">
      <c r="A6" s="20" t="str">
        <f>+[2]rapkvart!B91</f>
        <v>Periodens totalresultat</v>
      </c>
      <c r="B6" s="20"/>
      <c r="C6" s="7">
        <f>+[2]rapkvart!D91</f>
        <v>66.70000000000006</v>
      </c>
      <c r="D6" s="8">
        <f>+[2]rapkvart!E91</f>
        <v>10.399999999999864</v>
      </c>
      <c r="E6" s="7">
        <f>+[2]rapkvart!F91</f>
        <v>96.700000000000045</v>
      </c>
      <c r="F6" s="8">
        <f>+[2]rapkvart!G91</f>
        <v>61.799999999999926</v>
      </c>
      <c r="G6" s="8">
        <f>+[2]rapkvart!I91</f>
        <v>78.100000000000122</v>
      </c>
      <c r="M6" s="20" t="str">
        <f>+[2]rapkvart!$A$91</f>
        <v>Comprehensive income for the period</v>
      </c>
      <c r="N6" s="20"/>
      <c r="O6" s="7">
        <v>-1.2999999999998977</v>
      </c>
      <c r="P6" s="8">
        <v>8.7000000000002444</v>
      </c>
      <c r="Q6" s="7">
        <v>78.100000000000122</v>
      </c>
      <c r="R6" s="8">
        <v>96.300000000000139</v>
      </c>
    </row>
    <row r="7" spans="1:18" s="2" customFormat="1" ht="9" hidden="1" customHeight="1" x14ac:dyDescent="0.15">
      <c r="A7" s="20" t="str">
        <f>+[2]rapkvart!B92</f>
        <v>Förändrad skattesats</v>
      </c>
      <c r="B7" s="20"/>
      <c r="C7" s="9">
        <f>+[2]rapkvart!D92</f>
        <v>0</v>
      </c>
      <c r="D7" s="8">
        <f>+[2]rapkvart!E92</f>
        <v>0</v>
      </c>
      <c r="E7" s="9">
        <f>+[2]rapkvart!F92</f>
        <v>0</v>
      </c>
      <c r="F7" s="8">
        <f>+[2]rapkvart!G92</f>
        <v>0</v>
      </c>
      <c r="G7" s="8">
        <f>+[2]rapkvart!I92</f>
        <v>0</v>
      </c>
      <c r="M7" s="180" t="s">
        <v>526</v>
      </c>
      <c r="N7" s="20"/>
      <c r="O7" s="9">
        <v>0</v>
      </c>
      <c r="P7" s="8">
        <v>0</v>
      </c>
      <c r="Q7" s="9">
        <v>0</v>
      </c>
      <c r="R7" s="8">
        <v>0</v>
      </c>
    </row>
    <row r="8" spans="1:18" s="2" customFormat="1" ht="18.75" customHeight="1" x14ac:dyDescent="0.15">
      <c r="A8" s="1349" t="str">
        <f>+[2]rapkvart!B93</f>
        <v>Förändringar hänförliga till innehav utan bestämmande inflytande:</v>
      </c>
      <c r="B8" s="1349"/>
      <c r="C8" s="13"/>
      <c r="D8" s="14"/>
      <c r="E8" s="13"/>
      <c r="F8" s="14"/>
      <c r="G8" s="14"/>
      <c r="M8" s="1349" t="str">
        <f>+[2]rapkvart!$A$93</f>
        <v>Changes attributable to non-controlling interests:</v>
      </c>
      <c r="N8" s="1349"/>
      <c r="O8" s="13"/>
      <c r="P8" s="14"/>
      <c r="Q8" s="13"/>
      <c r="R8" s="14"/>
    </row>
    <row r="9" spans="1:18" s="2" customFormat="1" ht="9" customHeight="1" x14ac:dyDescent="0.15">
      <c r="A9" s="47" t="str">
        <f>+[2]rapkvart!B94</f>
        <v>Periodens totalresultat</v>
      </c>
      <c r="B9" s="47"/>
      <c r="C9" s="13">
        <f>+[2]rapkvart!D94</f>
        <v>1.5</v>
      </c>
      <c r="D9" s="14">
        <f>+[2]rapkvart!E94</f>
        <v>1.4</v>
      </c>
      <c r="E9" s="13">
        <f>+[2]rapkvart!F94</f>
        <v>2.6</v>
      </c>
      <c r="F9" s="14">
        <f>+[2]rapkvart!G94</f>
        <v>3</v>
      </c>
      <c r="G9" s="14">
        <f>+[2]rapkvart!I94</f>
        <v>4.5999999999999996</v>
      </c>
      <c r="M9" s="47" t="str">
        <f>+[2]rapkvart!$A$94</f>
        <v>Comprehensive income for the period</v>
      </c>
      <c r="N9" s="47"/>
      <c r="O9" s="13">
        <v>0.79999999999999982</v>
      </c>
      <c r="P9" s="14">
        <v>0</v>
      </c>
      <c r="Q9" s="13">
        <v>4.5999999999999996</v>
      </c>
      <c r="R9" s="14">
        <v>6.4</v>
      </c>
    </row>
    <row r="10" spans="1:18" s="2" customFormat="1" ht="9" customHeight="1" x14ac:dyDescent="0.15">
      <c r="A10" s="66" t="str">
        <f>+[2]rapkvart!B95</f>
        <v>Transaktioner med aktieägare</v>
      </c>
      <c r="B10" s="48"/>
      <c r="C10" s="13"/>
      <c r="D10" s="14"/>
      <c r="E10" s="13"/>
      <c r="F10" s="14"/>
      <c r="G10" s="14"/>
      <c r="M10" s="66" t="str">
        <f>+[2]rapkvart!A95</f>
        <v>Transactions with shareholders</v>
      </c>
      <c r="N10" s="48"/>
      <c r="O10" s="13"/>
      <c r="P10" s="14"/>
      <c r="Q10" s="13"/>
      <c r="R10" s="14"/>
    </row>
    <row r="11" spans="1:18" s="2" customFormat="1" ht="9" hidden="1" customHeight="1" x14ac:dyDescent="0.15">
      <c r="A11" s="48" t="str">
        <f>+[2]rapkvart!B96</f>
        <v>Nyemission/Aktieägartillskott</v>
      </c>
      <c r="B11" s="1349"/>
      <c r="C11" s="13">
        <f>+[2]rapkvart!D96</f>
        <v>0</v>
      </c>
      <c r="D11" s="14">
        <f>+[2]rapkvart!E96</f>
        <v>0</v>
      </c>
      <c r="E11" s="13">
        <f>+[2]rapkvart!F96</f>
        <v>0</v>
      </c>
      <c r="F11" s="14">
        <f>+[2]rapkvart!G96</f>
        <v>0</v>
      </c>
      <c r="G11" s="14">
        <f>+[2]rapkvart!I96</f>
        <v>0</v>
      </c>
      <c r="M11" s="1350" t="s">
        <v>527</v>
      </c>
      <c r="N11" s="1349"/>
      <c r="O11" s="13">
        <v>0</v>
      </c>
      <c r="P11" s="14">
        <v>0</v>
      </c>
      <c r="Q11" s="13">
        <v>0</v>
      </c>
      <c r="R11" s="14">
        <v>0</v>
      </c>
    </row>
    <row r="12" spans="1:18" s="2" customFormat="1" ht="9" customHeight="1" thickBot="1" x14ac:dyDescent="0.2">
      <c r="A12" s="38" t="str">
        <f>+[2]rapkvart!B97</f>
        <v>Utdelning</v>
      </c>
      <c r="B12" s="67"/>
      <c r="C12" s="16">
        <f>+[2]rapkvart!D97</f>
        <v>0</v>
      </c>
      <c r="D12" s="17">
        <f>+[2]rapkvart!E97</f>
        <v>-37</v>
      </c>
      <c r="E12" s="16">
        <f>+[2]rapkvart!F97</f>
        <v>-8.6</v>
      </c>
      <c r="F12" s="17">
        <f>+[2]rapkvart!G97</f>
        <v>-42.2</v>
      </c>
      <c r="G12" s="17">
        <f>+[2]rapkvart!I97</f>
        <v>-42.2</v>
      </c>
      <c r="M12" s="38" t="str">
        <f>+[2]rapkvart!$A$97</f>
        <v>Dividend</v>
      </c>
      <c r="N12" s="67"/>
      <c r="O12" s="16">
        <v>0</v>
      </c>
      <c r="P12" s="17">
        <v>0</v>
      </c>
      <c r="Q12" s="16">
        <v>-42.2</v>
      </c>
      <c r="R12" s="17">
        <v>-43.9</v>
      </c>
    </row>
    <row r="13" spans="1:18" ht="15" customHeight="1" x14ac:dyDescent="0.25">
      <c r="A13" s="1" t="str">
        <f>+[2]rapkvart!B98</f>
        <v>Totalt eget kapital vid periodens slut</v>
      </c>
      <c r="B13" s="1"/>
      <c r="C13" s="11">
        <f>+[2]rapkvart!D98</f>
        <v>805.50000000000011</v>
      </c>
      <c r="D13" s="12">
        <f>+[2]rapkvart!E98</f>
        <v>696.89999999999986</v>
      </c>
      <c r="E13" s="11">
        <f>+[2]rapkvart!F98</f>
        <v>805.50000000000011</v>
      </c>
      <c r="F13" s="12">
        <f>+[2]rapkvart!G98</f>
        <v>696.89999999999986</v>
      </c>
      <c r="G13" s="12">
        <f>+[2]rapkvart!I98</f>
        <v>714.80000000000007</v>
      </c>
      <c r="M13" s="1" t="str">
        <f>+[2]rapkvart!$A$98</f>
        <v>Closing balance, total equity</v>
      </c>
      <c r="N13" s="1"/>
      <c r="O13" s="11">
        <v>714.8</v>
      </c>
      <c r="P13" s="12">
        <v>674.30000000000007</v>
      </c>
      <c r="Q13" s="11">
        <v>714.80000000000007</v>
      </c>
      <c r="R13" s="12">
        <v>674.3</v>
      </c>
    </row>
  </sheetData>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3D5E4-15B4-4916-BDEF-319B609ACA1B}">
  <sheetPr>
    <tabColor rgb="FFFF5050"/>
  </sheetPr>
  <dimension ref="A1:P73"/>
  <sheetViews>
    <sheetView workbookViewId="0"/>
    <sheetView workbookViewId="1"/>
  </sheetViews>
  <sheetFormatPr defaultColWidth="9.140625" defaultRowHeight="9" outlineLevelCol="1" x14ac:dyDescent="0.15"/>
  <cols>
    <col min="1" max="1" width="37.5703125" style="2" bestFit="1" customWidth="1"/>
    <col min="2" max="3" width="8.140625" style="2" customWidth="1" outlineLevel="1"/>
    <col min="4" max="5" width="8.140625" style="2" customWidth="1"/>
    <col min="6" max="7" width="8.140625" style="2" hidden="1" customWidth="1" outlineLevel="1"/>
    <col min="8" max="8" width="9.140625" style="61" collapsed="1"/>
    <col min="9" max="11" width="9.140625" style="2"/>
    <col min="12" max="12" width="35.85546875" style="2" customWidth="1"/>
    <col min="13" max="16384" width="9.140625" style="2"/>
  </cols>
  <sheetData>
    <row r="1" spans="1:16" ht="11.25" customHeight="1" x14ac:dyDescent="0.15">
      <c r="A1" s="1" t="str">
        <f>+[2]rapkvart!$B$140</f>
        <v>Nyckeltal</v>
      </c>
      <c r="L1" s="123" t="s">
        <v>528</v>
      </c>
      <c r="M1" s="61"/>
      <c r="N1" s="61"/>
      <c r="O1" s="61"/>
      <c r="P1" s="61"/>
    </row>
    <row r="2" spans="1:16" ht="11.25" customHeight="1" x14ac:dyDescent="0.15">
      <c r="A2" s="196"/>
      <c r="B2" s="184" t="str">
        <f>+[2]rapkvart!D141</f>
        <v>Kvartal 2</v>
      </c>
      <c r="C2" s="184" t="str">
        <f>+[2]rapkvart!E141</f>
        <v>Kvartal 2</v>
      </c>
      <c r="D2" s="184" t="str">
        <f>+[2]rapkvart!F141</f>
        <v>Kvartal 1-2</v>
      </c>
      <c r="E2" s="185" t="str">
        <f>+[2]rapkvart!G141</f>
        <v>Kvartal 1-2</v>
      </c>
      <c r="F2" s="4" t="str">
        <f>+[2]rapkvart!H141</f>
        <v>12 mån</v>
      </c>
      <c r="G2" s="4"/>
      <c r="L2" s="196"/>
      <c r="M2" s="184" t="s">
        <v>524</v>
      </c>
      <c r="N2" s="184" t="s">
        <v>524</v>
      </c>
      <c r="O2" s="184" t="s">
        <v>525</v>
      </c>
      <c r="P2" s="185" t="s">
        <v>525</v>
      </c>
    </row>
    <row r="3" spans="1:16" x14ac:dyDescent="0.15">
      <c r="A3" s="206" t="s">
        <v>225</v>
      </c>
      <c r="B3" s="37">
        <f>+[2]rapkvart!D142</f>
        <v>2026</v>
      </c>
      <c r="C3" s="37">
        <f>+[2]rapkvart!E142</f>
        <v>2025</v>
      </c>
      <c r="D3" s="37">
        <f>+[2]rapkvart!F142</f>
        <v>2026</v>
      </c>
      <c r="E3" s="186">
        <f>+[2]rapkvart!G142</f>
        <v>2025</v>
      </c>
      <c r="F3" s="37" t="str">
        <f>+[2]rapkvart!H142</f>
        <v>rullande</v>
      </c>
      <c r="G3" s="37">
        <f>+[2]rapkvart!I142</f>
        <v>2025</v>
      </c>
      <c r="L3" s="206" t="s">
        <v>226</v>
      </c>
      <c r="M3" s="37">
        <v>2025</v>
      </c>
      <c r="N3" s="37">
        <v>2024</v>
      </c>
      <c r="O3" s="37">
        <v>2025</v>
      </c>
      <c r="P3" s="186">
        <v>2024</v>
      </c>
    </row>
    <row r="4" spans="1:16" ht="8.4499999999999993" customHeight="1" x14ac:dyDescent="0.15">
      <c r="A4" s="207" t="s">
        <v>2</v>
      </c>
      <c r="B4" s="25">
        <v>520.40000000000009</v>
      </c>
      <c r="C4" s="26">
        <v>579.50000000000023</v>
      </c>
      <c r="D4" s="25">
        <v>2329.8000000000002</v>
      </c>
      <c r="E4" s="187">
        <v>2271.8000000000002</v>
      </c>
      <c r="F4" s="4"/>
      <c r="G4" s="4"/>
      <c r="H4" s="123" t="s">
        <v>529</v>
      </c>
      <c r="L4" s="195" t="s">
        <v>223</v>
      </c>
      <c r="M4" s="25">
        <v>520.40000000000009</v>
      </c>
      <c r="N4" s="26">
        <v>579.50000000000023</v>
      </c>
      <c r="O4" s="25">
        <v>2329.8000000000002</v>
      </c>
      <c r="P4" s="187">
        <v>2271.8000000000002</v>
      </c>
    </row>
    <row r="5" spans="1:16" ht="8.4499999999999993" customHeight="1" x14ac:dyDescent="0.15">
      <c r="A5" s="207" t="s">
        <v>10</v>
      </c>
      <c r="B5" s="25">
        <v>43.400000000000091</v>
      </c>
      <c r="C5" s="26">
        <v>50.600000000000229</v>
      </c>
      <c r="D5" s="25">
        <v>237.30000000000013</v>
      </c>
      <c r="E5" s="187">
        <v>252.20000000000016</v>
      </c>
      <c r="F5" s="4"/>
      <c r="G5" s="4"/>
      <c r="H5" s="123" t="s">
        <v>529</v>
      </c>
      <c r="L5" s="195" t="s">
        <v>229</v>
      </c>
      <c r="M5" s="25">
        <v>43.400000000000091</v>
      </c>
      <c r="N5" s="26">
        <v>50.600000000000229</v>
      </c>
      <c r="O5" s="25">
        <v>237.30000000000013</v>
      </c>
      <c r="P5" s="187">
        <v>252.20000000000016</v>
      </c>
    </row>
    <row r="6" spans="1:16" ht="8.4499999999999993" customHeight="1" x14ac:dyDescent="0.15">
      <c r="A6" s="207" t="s">
        <v>238</v>
      </c>
      <c r="B6" s="25">
        <v>-6.8999999999998991</v>
      </c>
      <c r="C6" s="26">
        <v>39.000000000000227</v>
      </c>
      <c r="D6" s="25">
        <v>11.200000000000088</v>
      </c>
      <c r="E6" s="187">
        <v>90.000000000000142</v>
      </c>
      <c r="F6" s="4"/>
      <c r="G6" s="4"/>
      <c r="H6" s="123" t="s">
        <v>529</v>
      </c>
      <c r="L6" s="195" t="s">
        <v>530</v>
      </c>
      <c r="M6" s="25">
        <v>-6.8999999999998991</v>
      </c>
      <c r="N6" s="26">
        <v>39.000000000000227</v>
      </c>
      <c r="O6" s="25">
        <v>11.200000000000088</v>
      </c>
      <c r="P6" s="187">
        <v>90.000000000000142</v>
      </c>
    </row>
    <row r="7" spans="1:16" ht="8.4499999999999993" customHeight="1" x14ac:dyDescent="0.15">
      <c r="A7" s="207" t="s">
        <v>243</v>
      </c>
      <c r="B7" s="178">
        <v>12.299999999999997</v>
      </c>
      <c r="C7" s="179">
        <v>15.599999999999994</v>
      </c>
      <c r="D7" s="178">
        <v>79</v>
      </c>
      <c r="E7" s="188">
        <v>71.8</v>
      </c>
      <c r="F7" s="4"/>
      <c r="G7" s="4"/>
      <c r="H7" s="123" t="s">
        <v>529</v>
      </c>
      <c r="L7" s="195" t="s">
        <v>244</v>
      </c>
      <c r="M7" s="25">
        <v>12.299999999999997</v>
      </c>
      <c r="N7" s="26">
        <v>15.599999999999994</v>
      </c>
      <c r="O7" s="25">
        <v>79</v>
      </c>
      <c r="P7" s="187">
        <v>71.8</v>
      </c>
    </row>
    <row r="8" spans="1:16" ht="8.4499999999999993" customHeight="1" x14ac:dyDescent="0.15">
      <c r="A8" s="207"/>
      <c r="B8" s="25"/>
      <c r="C8" s="26"/>
      <c r="D8" s="25"/>
      <c r="E8" s="187"/>
      <c r="F8" s="4"/>
      <c r="G8" s="4"/>
      <c r="L8" s="195"/>
      <c r="M8" s="25"/>
      <c r="N8" s="26"/>
      <c r="O8" s="25"/>
      <c r="P8" s="187"/>
    </row>
    <row r="9" spans="1:16" ht="8.4499999999999993" customHeight="1" x14ac:dyDescent="0.15">
      <c r="A9" s="207" t="s">
        <v>21</v>
      </c>
      <c r="B9" s="178" t="s">
        <v>17</v>
      </c>
      <c r="C9" s="26" t="s">
        <v>17</v>
      </c>
      <c r="D9" s="178">
        <v>134</v>
      </c>
      <c r="E9" s="187">
        <v>273.2</v>
      </c>
      <c r="F9" s="4"/>
      <c r="G9" s="4"/>
      <c r="H9" s="123" t="s">
        <v>529</v>
      </c>
      <c r="L9" s="195" t="s">
        <v>254</v>
      </c>
      <c r="M9" s="25" t="s">
        <v>17</v>
      </c>
      <c r="N9" s="26" t="s">
        <v>17</v>
      </c>
      <c r="O9" s="25">
        <v>134</v>
      </c>
      <c r="P9" s="187">
        <v>273.2</v>
      </c>
    </row>
    <row r="10" spans="1:16" ht="8.4499999999999993" customHeight="1" x14ac:dyDescent="0.15">
      <c r="A10" s="207" t="s">
        <v>259</v>
      </c>
      <c r="B10" s="25" t="s">
        <v>17</v>
      </c>
      <c r="C10" s="26" t="s">
        <v>17</v>
      </c>
      <c r="D10" s="25">
        <v>173.8</v>
      </c>
      <c r="E10" s="187">
        <v>56.6</v>
      </c>
      <c r="F10" s="4"/>
      <c r="G10" s="4"/>
      <c r="H10" s="123" t="s">
        <v>529</v>
      </c>
      <c r="L10" s="195" t="s">
        <v>260</v>
      </c>
      <c r="M10" s="177" t="s">
        <v>17</v>
      </c>
      <c r="N10" s="26" t="s">
        <v>17</v>
      </c>
      <c r="O10" s="178">
        <v>173.8</v>
      </c>
      <c r="P10" s="188">
        <v>56.6</v>
      </c>
    </row>
    <row r="11" spans="1:16" ht="8.4499999999999993" customHeight="1" x14ac:dyDescent="0.15">
      <c r="A11" s="207" t="s">
        <v>265</v>
      </c>
      <c r="B11" s="25" t="s">
        <v>17</v>
      </c>
      <c r="C11" s="26" t="s">
        <v>17</v>
      </c>
      <c r="D11" s="25">
        <v>0.7</v>
      </c>
      <c r="E11" s="187">
        <v>0.2</v>
      </c>
      <c r="F11" s="4"/>
      <c r="G11" s="4"/>
      <c r="H11" s="123" t="s">
        <v>529</v>
      </c>
      <c r="L11" s="195" t="s">
        <v>266</v>
      </c>
      <c r="M11" s="25" t="s">
        <v>17</v>
      </c>
      <c r="N11" s="26" t="s">
        <v>17</v>
      </c>
      <c r="O11" s="25">
        <v>0.7</v>
      </c>
      <c r="P11" s="187">
        <v>0.2</v>
      </c>
    </row>
    <row r="12" spans="1:16" ht="8.4499999999999993" customHeight="1" x14ac:dyDescent="0.15">
      <c r="A12" s="207" t="s">
        <v>273</v>
      </c>
      <c r="B12" s="25" t="s">
        <v>17</v>
      </c>
      <c r="C12" s="26" t="s">
        <v>17</v>
      </c>
      <c r="D12" s="25">
        <v>223.8</v>
      </c>
      <c r="E12" s="187">
        <v>125.3</v>
      </c>
      <c r="F12" s="4"/>
      <c r="G12" s="4"/>
      <c r="H12" s="123" t="s">
        <v>529</v>
      </c>
      <c r="L12" s="195" t="s">
        <v>274</v>
      </c>
      <c r="M12" s="25" t="s">
        <v>17</v>
      </c>
      <c r="N12" s="26" t="s">
        <v>17</v>
      </c>
      <c r="O12" s="25">
        <v>223.8</v>
      </c>
      <c r="P12" s="187">
        <v>125.3</v>
      </c>
    </row>
    <row r="13" spans="1:16" ht="8.4499999999999993" customHeight="1" x14ac:dyDescent="0.15">
      <c r="A13" s="207"/>
      <c r="B13" s="25"/>
      <c r="C13" s="26"/>
      <c r="D13" s="25"/>
      <c r="E13" s="187"/>
      <c r="F13" s="4"/>
      <c r="G13" s="4"/>
      <c r="L13" s="195"/>
      <c r="M13" s="25"/>
      <c r="N13" s="26"/>
      <c r="O13" s="25"/>
      <c r="P13" s="187"/>
    </row>
    <row r="14" spans="1:16" ht="8.4499999999999993" customHeight="1" x14ac:dyDescent="0.15">
      <c r="A14" s="207" t="s">
        <v>279</v>
      </c>
      <c r="B14" s="71">
        <v>503</v>
      </c>
      <c r="C14" s="72">
        <v>500</v>
      </c>
      <c r="D14" s="71">
        <v>499</v>
      </c>
      <c r="E14" s="189">
        <v>515</v>
      </c>
      <c r="F14" s="4"/>
      <c r="G14" s="4"/>
      <c r="H14" s="123" t="s">
        <v>529</v>
      </c>
      <c r="L14" s="195" t="s">
        <v>280</v>
      </c>
      <c r="M14" s="25">
        <v>503</v>
      </c>
      <c r="N14" s="26">
        <v>500</v>
      </c>
      <c r="O14" s="25">
        <v>499</v>
      </c>
      <c r="P14" s="187">
        <v>515</v>
      </c>
    </row>
    <row r="15" spans="1:16" ht="8.4499999999999993" customHeight="1" x14ac:dyDescent="0.15">
      <c r="A15" s="207" t="s">
        <v>286</v>
      </c>
      <c r="B15" s="71">
        <v>1035</v>
      </c>
      <c r="C15" s="72">
        <v>1159</v>
      </c>
      <c r="D15" s="71">
        <v>4660</v>
      </c>
      <c r="E15" s="189">
        <v>4411</v>
      </c>
      <c r="F15" s="4"/>
      <c r="G15" s="4"/>
      <c r="H15" s="123" t="s">
        <v>529</v>
      </c>
      <c r="L15" s="195" t="s">
        <v>287</v>
      </c>
      <c r="M15" s="25">
        <v>1035</v>
      </c>
      <c r="N15" s="26">
        <v>1159</v>
      </c>
      <c r="O15" s="25">
        <v>4660</v>
      </c>
      <c r="P15" s="187">
        <v>4411</v>
      </c>
    </row>
    <row r="16" spans="1:16" ht="8.4499999999999993" customHeight="1" x14ac:dyDescent="0.15">
      <c r="A16" s="207"/>
      <c r="B16" s="25"/>
      <c r="C16" s="26"/>
      <c r="D16" s="25"/>
      <c r="E16" s="187"/>
      <c r="F16" s="4"/>
      <c r="G16" s="4"/>
      <c r="L16" s="195"/>
      <c r="M16" s="25"/>
      <c r="N16" s="26"/>
      <c r="O16" s="25"/>
      <c r="P16" s="187"/>
    </row>
    <row r="17" spans="1:16" ht="8.4499999999999993" customHeight="1" x14ac:dyDescent="0.15">
      <c r="A17" s="207" t="s">
        <v>291</v>
      </c>
      <c r="B17" s="71">
        <v>7399</v>
      </c>
      <c r="C17" s="72">
        <v>7399</v>
      </c>
      <c r="D17" s="71">
        <v>7399</v>
      </c>
      <c r="E17" s="189">
        <v>7399</v>
      </c>
      <c r="F17" s="4"/>
      <c r="G17" s="4"/>
      <c r="H17" s="123" t="s">
        <v>529</v>
      </c>
      <c r="L17" s="195" t="s">
        <v>292</v>
      </c>
      <c r="M17" s="25">
        <v>7399</v>
      </c>
      <c r="N17" s="26">
        <v>7399</v>
      </c>
      <c r="O17" s="25">
        <v>7399</v>
      </c>
      <c r="P17" s="187">
        <v>7399</v>
      </c>
    </row>
    <row r="18" spans="1:16" ht="8.4499999999999993" customHeight="1" x14ac:dyDescent="0.15">
      <c r="A18" s="208" t="s">
        <v>296</v>
      </c>
      <c r="B18" s="182">
        <v>7399</v>
      </c>
      <c r="C18" s="183">
        <v>7399</v>
      </c>
      <c r="D18" s="182">
        <v>7399</v>
      </c>
      <c r="E18" s="190">
        <v>7399</v>
      </c>
      <c r="F18" s="4"/>
      <c r="G18" s="4"/>
      <c r="H18" s="123" t="s">
        <v>529</v>
      </c>
      <c r="L18" s="204" t="s">
        <v>297</v>
      </c>
      <c r="M18" s="23">
        <v>7399</v>
      </c>
      <c r="N18" s="24">
        <v>7399</v>
      </c>
      <c r="O18" s="23">
        <v>7399</v>
      </c>
      <c r="P18" s="205">
        <v>7399</v>
      </c>
    </row>
    <row r="19" spans="1:16" x14ac:dyDescent="0.15">
      <c r="A19" s="194"/>
      <c r="B19" s="4"/>
      <c r="C19" s="4"/>
      <c r="D19" s="4"/>
      <c r="E19" s="185"/>
      <c r="F19" s="4"/>
      <c r="G19" s="4"/>
      <c r="L19" s="196"/>
      <c r="M19" s="184"/>
      <c r="N19" s="184"/>
      <c r="O19" s="184"/>
      <c r="P19" s="185"/>
    </row>
    <row r="20" spans="1:16" x14ac:dyDescent="0.15">
      <c r="A20" s="194"/>
      <c r="B20" s="4" t="str">
        <f>B2</f>
        <v>Kvartal 2</v>
      </c>
      <c r="C20" s="4" t="str">
        <f t="shared" ref="C20:E21" si="0">C2</f>
        <v>Kvartal 2</v>
      </c>
      <c r="D20" s="4" t="str">
        <f t="shared" si="0"/>
        <v>Kvartal 1-2</v>
      </c>
      <c r="E20" s="191" t="str">
        <f t="shared" si="0"/>
        <v>Kvartal 1-2</v>
      </c>
      <c r="F20" s="4"/>
      <c r="G20" s="4"/>
      <c r="L20" s="194"/>
      <c r="M20" s="4" t="s">
        <v>524</v>
      </c>
      <c r="N20" s="4" t="s">
        <v>524</v>
      </c>
      <c r="O20" s="4" t="s">
        <v>525</v>
      </c>
      <c r="P20" s="191" t="s">
        <v>525</v>
      </c>
    </row>
    <row r="21" spans="1:16" x14ac:dyDescent="0.15">
      <c r="A21" s="206" t="s">
        <v>309</v>
      </c>
      <c r="B21" s="37">
        <f>B3</f>
        <v>2026</v>
      </c>
      <c r="C21" s="37">
        <f t="shared" si="0"/>
        <v>2025</v>
      </c>
      <c r="D21" s="37">
        <f t="shared" si="0"/>
        <v>2026</v>
      </c>
      <c r="E21" s="186">
        <f t="shared" si="0"/>
        <v>2025</v>
      </c>
      <c r="F21" s="4"/>
      <c r="G21" s="4"/>
      <c r="L21" s="206" t="s">
        <v>531</v>
      </c>
      <c r="M21" s="37">
        <v>2025</v>
      </c>
      <c r="N21" s="37">
        <v>2024</v>
      </c>
      <c r="O21" s="37">
        <v>2025</v>
      </c>
      <c r="P21" s="186">
        <v>2024</v>
      </c>
    </row>
    <row r="22" spans="1:16" ht="8.4499999999999993" customHeight="1" x14ac:dyDescent="0.15">
      <c r="A22" s="195" t="s">
        <v>248</v>
      </c>
      <c r="B22" s="25">
        <v>-2.7249999999998948</v>
      </c>
      <c r="C22" s="26">
        <v>4.275000000000226</v>
      </c>
      <c r="D22" s="25">
        <v>51.311070112834841</v>
      </c>
      <c r="E22" s="187">
        <v>63.463814370000001</v>
      </c>
      <c r="F22" s="4"/>
      <c r="G22" s="4"/>
      <c r="L22" s="195" t="str">
        <f t="shared" ref="L22:L27" si="1">L45</f>
        <v>Operating income/loss, MSEK</v>
      </c>
      <c r="M22" s="25">
        <v>-2.7249999999998948</v>
      </c>
      <c r="N22" s="26">
        <v>4.275000000000226</v>
      </c>
      <c r="O22" s="25">
        <v>51.311070112834841</v>
      </c>
      <c r="P22" s="187">
        <v>63.463814370000001</v>
      </c>
    </row>
    <row r="23" spans="1:16" ht="8.4499999999999993" customHeight="1" x14ac:dyDescent="0.15">
      <c r="A23" s="195" t="s">
        <v>252</v>
      </c>
      <c r="B23" s="25">
        <f>'Koncern RR - EJ ANVÄNDA'!C74</f>
        <v>53.837350000000022</v>
      </c>
      <c r="C23" s="26">
        <f>'Koncern RR - EJ ANVÄNDA'!D74</f>
        <v>-1.1416500000001264</v>
      </c>
      <c r="D23" s="25">
        <v>2.4</v>
      </c>
      <c r="E23" s="187">
        <v>26.8</v>
      </c>
      <c r="F23" s="4"/>
      <c r="G23" s="4"/>
      <c r="L23" s="195" t="str">
        <f t="shared" si="1"/>
        <v>Net income for the period, MSEK</v>
      </c>
      <c r="M23" s="25">
        <v>-17.722449999999913</v>
      </c>
      <c r="N23" s="26">
        <v>-1.6872499999998216</v>
      </c>
      <c r="O23" s="25">
        <v>2.4</v>
      </c>
      <c r="P23" s="187">
        <v>26.8</v>
      </c>
    </row>
    <row r="24" spans="1:16" ht="8.4499999999999993" customHeight="1" x14ac:dyDescent="0.15">
      <c r="A24" s="195" t="s">
        <v>322</v>
      </c>
      <c r="B24" s="25">
        <f>'Koncern RR - EJ ANVÄNDA'!C70</f>
        <v>50.637350000000019</v>
      </c>
      <c r="C24" s="26">
        <f>'Koncern RR - EJ ANVÄNDA'!D70</f>
        <v>8.1583499999998725</v>
      </c>
      <c r="D24" s="25">
        <v>34.5</v>
      </c>
      <c r="E24" s="187">
        <v>26.8</v>
      </c>
      <c r="F24" s="4"/>
      <c r="G24" s="4"/>
      <c r="L24" s="195" t="str">
        <f t="shared" si="1"/>
        <v>Net income for the period related to continuing operations, MSEK</v>
      </c>
      <c r="M24" s="25">
        <v>-2.322449999999916</v>
      </c>
      <c r="N24" s="26">
        <v>-1.6872499999998216</v>
      </c>
      <c r="O24" s="25">
        <v>34.5</v>
      </c>
      <c r="P24" s="187">
        <v>26.8</v>
      </c>
    </row>
    <row r="25" spans="1:16" ht="8.4499999999999993" customHeight="1" x14ac:dyDescent="0.15">
      <c r="A25" s="195" t="s">
        <v>325</v>
      </c>
      <c r="B25" s="25">
        <v>-0.5</v>
      </c>
      <c r="C25" s="26">
        <v>0.7</v>
      </c>
      <c r="D25" s="25">
        <v>2.2000000000000002</v>
      </c>
      <c r="E25" s="188">
        <v>2.8</v>
      </c>
      <c r="F25" s="4"/>
      <c r="G25" s="4"/>
      <c r="I25" s="1"/>
      <c r="L25" s="195" t="str">
        <f t="shared" si="1"/>
        <v>Operating margin, %</v>
      </c>
      <c r="M25" s="25">
        <v>-0.5</v>
      </c>
      <c r="N25" s="26">
        <v>0.7</v>
      </c>
      <c r="O25" s="25">
        <v>2.2000000000000002</v>
      </c>
      <c r="P25" s="187">
        <v>2.8</v>
      </c>
    </row>
    <row r="26" spans="1:16" ht="8.4499999999999993" customHeight="1" x14ac:dyDescent="0.15">
      <c r="A26" s="195" t="s">
        <v>329</v>
      </c>
      <c r="B26" s="25">
        <f>'Koncern RR - EJ ANVÄNDA'!C68</f>
        <v>63.77500000000002</v>
      </c>
      <c r="C26" s="26">
        <f>'Koncern RR - EJ ANVÄNDA'!D68</f>
        <v>10.274999999999839</v>
      </c>
      <c r="D26" s="25">
        <v>44.411070112834842</v>
      </c>
      <c r="E26" s="187">
        <v>35.526381436999998</v>
      </c>
      <c r="F26" s="4"/>
      <c r="G26" s="4"/>
      <c r="L26" s="195" t="str">
        <f t="shared" si="1"/>
        <v>Income after financial items, MSEK</v>
      </c>
      <c r="M26" s="25">
        <v>-2.9249999999998941</v>
      </c>
      <c r="N26" s="26">
        <v>-2.1249999999997753</v>
      </c>
      <c r="O26" s="25">
        <v>44.411070112834842</v>
      </c>
      <c r="P26" s="187">
        <v>35.526381436999998</v>
      </c>
    </row>
    <row r="27" spans="1:16" ht="8.4499999999999993" customHeight="1" x14ac:dyDescent="0.15">
      <c r="A27" s="195" t="s">
        <v>331</v>
      </c>
      <c r="B27" s="25">
        <v>-0.56000000000000005</v>
      </c>
      <c r="C27" s="26">
        <v>-0.4</v>
      </c>
      <c r="D27" s="25">
        <v>1.9</v>
      </c>
      <c r="E27" s="187">
        <v>1.6</v>
      </c>
      <c r="F27" s="4"/>
      <c r="G27" s="4"/>
      <c r="L27" s="195" t="str">
        <f t="shared" si="1"/>
        <v>Profit margin, %</v>
      </c>
      <c r="M27" s="25">
        <v>-0.56000000000000005</v>
      </c>
      <c r="N27" s="26">
        <v>-0.4</v>
      </c>
      <c r="O27" s="25">
        <v>1.9</v>
      </c>
      <c r="P27" s="187">
        <v>1.6</v>
      </c>
    </row>
    <row r="28" spans="1:16" ht="8.4499999999999993" customHeight="1" x14ac:dyDescent="0.15">
      <c r="A28" s="195"/>
      <c r="B28" s="177"/>
      <c r="C28" s="26"/>
      <c r="D28" s="177"/>
      <c r="E28" s="187"/>
      <c r="F28" s="4"/>
      <c r="G28" s="4"/>
      <c r="L28" s="195"/>
      <c r="M28" s="177"/>
      <c r="N28" s="26"/>
      <c r="O28" s="177"/>
      <c r="P28" s="187"/>
    </row>
    <row r="29" spans="1:16" ht="8.4499999999999993" customHeight="1" x14ac:dyDescent="0.15">
      <c r="A29" s="195" t="s">
        <v>532</v>
      </c>
      <c r="B29" s="25">
        <v>-0.64</v>
      </c>
      <c r="C29" s="26">
        <v>-0.49049999999999999</v>
      </c>
      <c r="D29" s="25">
        <v>2.4</v>
      </c>
      <c r="E29" s="188">
        <v>1.9</v>
      </c>
      <c r="F29" s="4"/>
      <c r="G29" s="4"/>
      <c r="H29" s="123" t="s">
        <v>529</v>
      </c>
      <c r="L29" s="195" t="str">
        <f>L53</f>
        <v>Return on equity, %</v>
      </c>
      <c r="M29" s="25">
        <v>-0.64</v>
      </c>
      <c r="N29" s="26">
        <v>-0.49049999999999999</v>
      </c>
      <c r="O29" s="25">
        <v>2.4</v>
      </c>
      <c r="P29" s="187">
        <v>1.9</v>
      </c>
    </row>
    <row r="30" spans="1:16" ht="8.4499999999999993" customHeight="1" x14ac:dyDescent="0.15">
      <c r="A30" s="195" t="s">
        <v>343</v>
      </c>
      <c r="B30" s="25">
        <v>-0.42</v>
      </c>
      <c r="C30" s="26">
        <v>-0.73</v>
      </c>
      <c r="D30" s="25">
        <v>6.9886837172423819</v>
      </c>
      <c r="E30" s="187">
        <v>7.35</v>
      </c>
      <c r="F30" s="4"/>
      <c r="G30" s="4"/>
      <c r="L30" s="195" t="str">
        <f>L52</f>
        <v>Return on capital employed, %</v>
      </c>
      <c r="M30" s="25">
        <v>-0.42</v>
      </c>
      <c r="N30" s="26">
        <v>-0.73</v>
      </c>
      <c r="O30" s="25">
        <v>6.9886837172423819</v>
      </c>
      <c r="P30" s="187">
        <v>7.35</v>
      </c>
    </row>
    <row r="31" spans="1:16" ht="8.4499999999999993" customHeight="1" x14ac:dyDescent="0.15">
      <c r="A31" s="195" t="s">
        <v>304</v>
      </c>
      <c r="B31" s="25"/>
      <c r="C31" s="26"/>
      <c r="D31" s="25">
        <v>2318.3253005514957</v>
      </c>
      <c r="E31" s="187">
        <v>2275.6253005514959</v>
      </c>
      <c r="F31" s="4"/>
      <c r="G31" s="4"/>
      <c r="L31" s="195" t="str">
        <f>L56</f>
        <v>Total assets, MSEK</v>
      </c>
      <c r="M31" s="25"/>
      <c r="N31" s="26"/>
      <c r="O31" s="25">
        <v>2318.3253005514957</v>
      </c>
      <c r="P31" s="187">
        <v>2275.6253005514959</v>
      </c>
    </row>
    <row r="32" spans="1:16" ht="8.4499999999999993" customHeight="1" x14ac:dyDescent="0.15">
      <c r="A32" s="195" t="s">
        <v>34</v>
      </c>
      <c r="B32" s="25"/>
      <c r="C32" s="26"/>
      <c r="D32" s="25">
        <v>1427.5</v>
      </c>
      <c r="E32" s="187">
        <v>1386.3</v>
      </c>
      <c r="F32" s="4"/>
      <c r="G32" s="4"/>
      <c r="H32" s="123"/>
      <c r="L32" s="195" t="str">
        <f>L57</f>
        <v>Total equity attributable to the parent Company´s shareholders</v>
      </c>
      <c r="M32" s="25"/>
      <c r="N32" s="26"/>
      <c r="O32" s="25">
        <v>1427.5</v>
      </c>
      <c r="P32" s="187">
        <v>1386.3</v>
      </c>
    </row>
    <row r="33" spans="1:16" ht="8.4499999999999993" customHeight="1" x14ac:dyDescent="0.15">
      <c r="A33" s="195" t="s">
        <v>357</v>
      </c>
      <c r="B33" s="25"/>
      <c r="C33" s="26"/>
      <c r="D33" s="178">
        <v>62.3</v>
      </c>
      <c r="E33" s="188">
        <v>61.7</v>
      </c>
      <c r="F33" s="4"/>
      <c r="G33" s="4"/>
      <c r="L33" s="195" t="str">
        <f>L58</f>
        <v>Equity ratio, %</v>
      </c>
      <c r="M33" s="25"/>
      <c r="N33" s="26"/>
      <c r="O33" s="25">
        <v>62.3</v>
      </c>
      <c r="P33" s="187">
        <v>61.7</v>
      </c>
    </row>
    <row r="34" spans="1:16" ht="8.4499999999999993" customHeight="1" x14ac:dyDescent="0.15">
      <c r="A34" s="195" t="s">
        <v>362</v>
      </c>
      <c r="B34" s="25"/>
      <c r="C34" s="26"/>
      <c r="D34" s="178">
        <v>0.12040536470251334</v>
      </c>
      <c r="E34" s="188">
        <v>4.0309337134711333E-2</v>
      </c>
      <c r="F34" s="4"/>
      <c r="G34" s="4"/>
      <c r="H34" s="123" t="s">
        <v>529</v>
      </c>
      <c r="L34" s="195" t="str">
        <f>L55</f>
        <v>Net debt/equity ratio</v>
      </c>
      <c r="M34" s="25"/>
      <c r="N34" s="26"/>
      <c r="O34" s="25">
        <v>0.12040536470251334</v>
      </c>
      <c r="P34" s="187">
        <v>4.0309337134711333E-2</v>
      </c>
    </row>
    <row r="35" spans="1:16" ht="8.4499999999999993" customHeight="1" x14ac:dyDescent="0.15">
      <c r="A35" s="195" t="s">
        <v>365</v>
      </c>
      <c r="B35" s="25"/>
      <c r="C35" s="26"/>
      <c r="D35" s="178">
        <v>3.2179558011049725</v>
      </c>
      <c r="E35" s="188">
        <v>3.9115013774104681</v>
      </c>
      <c r="F35" s="4"/>
      <c r="G35" s="4"/>
      <c r="H35" s="123" t="s">
        <v>529</v>
      </c>
      <c r="L35" s="195" t="str">
        <f>L59</f>
        <v>Capital turnover</v>
      </c>
      <c r="M35" s="25"/>
      <c r="N35" s="26"/>
      <c r="O35" s="25">
        <v>3.2179558011049725</v>
      </c>
      <c r="P35" s="187">
        <v>3.9115013774104681</v>
      </c>
    </row>
    <row r="36" spans="1:16" ht="8.4499999999999993" customHeight="1" x14ac:dyDescent="0.15">
      <c r="A36" s="195" t="s">
        <v>369</v>
      </c>
      <c r="B36" s="25"/>
      <c r="C36" s="26"/>
      <c r="D36" s="178">
        <v>74.593452098520459</v>
      </c>
      <c r="E36" s="188">
        <v>73.338899630866592</v>
      </c>
      <c r="F36" s="4"/>
      <c r="G36" s="4"/>
      <c r="H36" s="123" t="s">
        <v>529</v>
      </c>
      <c r="L36" s="195" t="str">
        <f>L60</f>
        <v>Proportion of risk-bearing capital, %</v>
      </c>
      <c r="M36" s="25"/>
      <c r="N36" s="26"/>
      <c r="O36" s="25">
        <v>74.593452098520459</v>
      </c>
      <c r="P36" s="187">
        <v>73.338899630866592</v>
      </c>
    </row>
    <row r="37" spans="1:16" ht="8.4499999999999993" customHeight="1" x14ac:dyDescent="0.15">
      <c r="A37" s="195" t="s">
        <v>372</v>
      </c>
      <c r="B37" s="25">
        <v>-0.38</v>
      </c>
      <c r="C37" s="26">
        <v>-1.1599999999999999</v>
      </c>
      <c r="D37" s="25">
        <v>8.18</v>
      </c>
      <c r="E37" s="187">
        <v>5.98</v>
      </c>
      <c r="F37" s="4"/>
      <c r="G37" s="4"/>
      <c r="H37" s="123" t="s">
        <v>529</v>
      </c>
      <c r="L37" s="195" t="str">
        <f>L61</f>
        <v>Interest coverage ratio</v>
      </c>
      <c r="M37" s="25">
        <v>-0.38</v>
      </c>
      <c r="N37" s="26">
        <v>-1.1599999999999999</v>
      </c>
      <c r="O37" s="25">
        <v>8.18</v>
      </c>
      <c r="P37" s="187">
        <v>5.98</v>
      </c>
    </row>
    <row r="38" spans="1:16" ht="8.4499999999999993" customHeight="1" x14ac:dyDescent="0.15">
      <c r="A38" s="195"/>
      <c r="B38" s="25"/>
      <c r="C38" s="26"/>
      <c r="D38" s="177"/>
      <c r="E38" s="192"/>
      <c r="F38" s="4"/>
      <c r="G38" s="4"/>
      <c r="L38" s="195"/>
      <c r="M38" s="25"/>
      <c r="N38" s="26"/>
      <c r="O38" s="25"/>
      <c r="P38" s="187"/>
    </row>
    <row r="39" spans="1:16" ht="8.4499999999999993" customHeight="1" x14ac:dyDescent="0.15">
      <c r="A39" s="195" t="s">
        <v>35</v>
      </c>
      <c r="B39" s="25"/>
      <c r="C39" s="26"/>
      <c r="D39" s="25">
        <v>192.93</v>
      </c>
      <c r="E39" s="187">
        <v>187.37</v>
      </c>
      <c r="F39" s="4"/>
      <c r="G39" s="4"/>
      <c r="L39" s="197" t="str">
        <f>L66</f>
        <v>Equity per share, SEK</v>
      </c>
      <c r="M39" s="25"/>
      <c r="N39" s="26"/>
      <c r="O39" s="25">
        <v>192.93</v>
      </c>
      <c r="P39" s="187">
        <v>187.37</v>
      </c>
    </row>
    <row r="40" spans="1:16" ht="8.4499999999999993" customHeight="1" x14ac:dyDescent="0.15">
      <c r="A40" s="195" t="s">
        <v>383</v>
      </c>
      <c r="B40" s="25">
        <f>'Koncern RR - EJ ANVÄNDA'!C79</f>
        <v>6.6412818338170867</v>
      </c>
      <c r="C40" s="26">
        <f>'Koncern RR - EJ ANVÄNDA'!D79</f>
        <v>0.91344175218193169</v>
      </c>
      <c r="D40" s="25">
        <v>4.0470517004443227</v>
      </c>
      <c r="E40" s="187">
        <v>2.7554007322683298</v>
      </c>
      <c r="F40" s="4"/>
      <c r="G40" s="4"/>
      <c r="L40" s="195" t="str">
        <f>L63</f>
        <v>Earnings per share from continuing operations, SEK</v>
      </c>
      <c r="M40" s="25">
        <v>-0.42202256454614662</v>
      </c>
      <c r="N40" s="26">
        <v>-0.22804450736774962</v>
      </c>
      <c r="O40" s="25">
        <v>4.0470517004443227</v>
      </c>
      <c r="P40" s="187">
        <v>2.7554007322683298</v>
      </c>
    </row>
    <row r="41" spans="1:16" ht="8.4499999999999993" customHeight="1" x14ac:dyDescent="0.15">
      <c r="A41" s="195" t="s">
        <v>387</v>
      </c>
      <c r="B41" s="25">
        <f>'Koncern RR - EJ ANVÄNDA'!C80</f>
        <v>0.43250402938324256</v>
      </c>
      <c r="C41" s="26">
        <f>'Koncern RR - EJ ANVÄNDA'!D80</f>
        <v>-1.2569648353950484</v>
      </c>
      <c r="D41" s="25">
        <v>-4.3402610438890203</v>
      </c>
      <c r="E41" s="187">
        <v>0</v>
      </c>
      <c r="F41" s="4"/>
      <c r="G41" s="4"/>
      <c r="L41" s="195" t="str">
        <f>L64</f>
        <v>Earnings per share fom discontinued operations, SEK</v>
      </c>
      <c r="M41" s="25">
        <v>-2.0814256414068542</v>
      </c>
      <c r="N41" s="26">
        <v>0</v>
      </c>
      <c r="O41" s="25">
        <v>-4.3402610438890203</v>
      </c>
      <c r="P41" s="187">
        <v>0</v>
      </c>
    </row>
    <row r="42" spans="1:16" ht="8.4499999999999993" customHeight="1" x14ac:dyDescent="0.15">
      <c r="A42" s="195" t="s">
        <v>390</v>
      </c>
      <c r="B42" s="25">
        <f>'Koncern RR - EJ ANVÄNDA'!C81</f>
        <v>7.073785863200329</v>
      </c>
      <c r="C42" s="26">
        <f>'Koncern RR - EJ ANVÄNDA'!D81</f>
        <v>-0.34352308321311675</v>
      </c>
      <c r="D42" s="25">
        <v>-0.29355873844589908</v>
      </c>
      <c r="E42" s="187">
        <v>2.7554007322683298</v>
      </c>
      <c r="F42" s="4"/>
      <c r="G42" s="4"/>
      <c r="L42" s="204" t="str">
        <f>L65</f>
        <v>Earnings per share, kr</v>
      </c>
      <c r="M42" s="23">
        <v>-2.503448205953001</v>
      </c>
      <c r="N42" s="24">
        <v>-0.22804450736774962</v>
      </c>
      <c r="O42" s="23">
        <v>-0.29355873844589908</v>
      </c>
      <c r="P42" s="205">
        <v>2.7554007322683298</v>
      </c>
    </row>
    <row r="43" spans="1:16" x14ac:dyDescent="0.15">
      <c r="A43" s="196"/>
      <c r="B43" s="184" t="str">
        <f>B20</f>
        <v>Kvartal 2</v>
      </c>
      <c r="C43" s="184" t="str">
        <f t="shared" ref="C43:G44" si="2">C20</f>
        <v>Kvartal 2</v>
      </c>
      <c r="D43" s="184" t="str">
        <f t="shared" si="2"/>
        <v>Kvartal 1-2</v>
      </c>
      <c r="E43" s="185" t="str">
        <f t="shared" si="2"/>
        <v>Kvartal 1-2</v>
      </c>
      <c r="F43" s="4"/>
      <c r="G43" s="4"/>
      <c r="L43" s="196"/>
      <c r="M43" s="184" t="s">
        <v>524</v>
      </c>
      <c r="N43" s="184" t="s">
        <v>524</v>
      </c>
      <c r="O43" s="184" t="s">
        <v>525</v>
      </c>
      <c r="P43" s="185" t="s">
        <v>525</v>
      </c>
    </row>
    <row r="44" spans="1:16" x14ac:dyDescent="0.15">
      <c r="A44" s="206" t="s">
        <v>399</v>
      </c>
      <c r="B44" s="37">
        <f>B21</f>
        <v>2026</v>
      </c>
      <c r="C44" s="37">
        <f t="shared" si="2"/>
        <v>2025</v>
      </c>
      <c r="D44" s="37">
        <f t="shared" si="2"/>
        <v>2026</v>
      </c>
      <c r="E44" s="186">
        <f t="shared" si="2"/>
        <v>2025</v>
      </c>
      <c r="F44" s="4">
        <f t="shared" si="2"/>
        <v>0</v>
      </c>
      <c r="G44" s="4">
        <f t="shared" si="2"/>
        <v>0</v>
      </c>
      <c r="L44" s="206" t="s">
        <v>533</v>
      </c>
      <c r="M44" s="37">
        <v>2025</v>
      </c>
      <c r="N44" s="37">
        <v>2024</v>
      </c>
      <c r="O44" s="37">
        <v>2025</v>
      </c>
      <c r="P44" s="186">
        <v>2024</v>
      </c>
    </row>
    <row r="45" spans="1:16" ht="8.4499999999999993" customHeight="1" x14ac:dyDescent="0.15">
      <c r="A45" s="207" t="str">
        <f>+[2]rapkvart!B145</f>
        <v>Rörelseresultat, Mkr</v>
      </c>
      <c r="B45" s="25">
        <f>+[2]rapkvart!D145</f>
        <v>92.400000000000063</v>
      </c>
      <c r="C45" s="26">
        <f>+[2]rapkvart!E145</f>
        <v>40.399999999999849</v>
      </c>
      <c r="D45" s="25">
        <f>+[2]rapkvart!F145</f>
        <v>142.80000000000004</v>
      </c>
      <c r="E45" s="187">
        <f>+[2]rapkvart!G145</f>
        <v>97.89999999999992</v>
      </c>
      <c r="F45" s="26">
        <f>+[2]rapkvart!H145</f>
        <v>193.5</v>
      </c>
      <c r="G45" s="26">
        <f>+[2]rapkvart!I145</f>
        <v>148.60000000000011</v>
      </c>
      <c r="L45" s="198" t="str">
        <f>[2]rapkvart!A145</f>
        <v>Operating income/loss, MSEK</v>
      </c>
      <c r="M45" s="199">
        <v>21.600000000000094</v>
      </c>
      <c r="N45" s="200">
        <v>28.600000000000229</v>
      </c>
      <c r="O45" s="199">
        <v>148.60000000000011</v>
      </c>
      <c r="P45" s="201">
        <v>160.80000000000015</v>
      </c>
    </row>
    <row r="46" spans="1:16" ht="8.4499999999999993" customHeight="1" x14ac:dyDescent="0.15">
      <c r="A46" s="207" t="s">
        <v>252</v>
      </c>
      <c r="B46" s="25">
        <v>-1.1000000000000001</v>
      </c>
      <c r="C46" s="26">
        <v>12.2</v>
      </c>
      <c r="D46" s="25">
        <v>78.099999999999994</v>
      </c>
      <c r="E46" s="187">
        <v>100.1</v>
      </c>
      <c r="F46" s="26"/>
      <c r="G46" s="26"/>
      <c r="H46" s="123" t="s">
        <v>529</v>
      </c>
      <c r="L46" s="195" t="s">
        <v>318</v>
      </c>
      <c r="M46" s="25">
        <v>-1.1000000000000001</v>
      </c>
      <c r="N46" s="26">
        <v>12.2</v>
      </c>
      <c r="O46" s="25">
        <v>78.099999999999994</v>
      </c>
      <c r="P46" s="187">
        <v>100.1</v>
      </c>
    </row>
    <row r="47" spans="1:16" ht="8.4499999999999993" customHeight="1" x14ac:dyDescent="0.15">
      <c r="A47" s="207" t="s">
        <v>322</v>
      </c>
      <c r="B47" s="25">
        <v>14.3</v>
      </c>
      <c r="C47" s="26">
        <v>12.2</v>
      </c>
      <c r="D47" s="25">
        <v>110.2</v>
      </c>
      <c r="E47" s="187">
        <v>100.1</v>
      </c>
      <c r="F47" s="26"/>
      <c r="G47" s="26"/>
      <c r="H47" s="123" t="s">
        <v>529</v>
      </c>
      <c r="L47" s="195" t="s">
        <v>258</v>
      </c>
      <c r="M47" s="25">
        <v>14.3</v>
      </c>
      <c r="N47" s="26">
        <v>12.2</v>
      </c>
      <c r="O47" s="25">
        <v>110.2</v>
      </c>
      <c r="P47" s="187">
        <v>100.1</v>
      </c>
    </row>
    <row r="48" spans="1:16" ht="8.4499999999999993" customHeight="1" x14ac:dyDescent="0.15">
      <c r="A48" s="207" t="str">
        <f>+[2]rapkvart!B146</f>
        <v>Rörelsemarginal, %</v>
      </c>
      <c r="B48" s="25">
        <f>+[2]rapkvart!D146</f>
        <v>13.494961296918371</v>
      </c>
      <c r="C48" s="26">
        <f>+[2]rapkvart!E146</f>
        <v>6.0119047619047405</v>
      </c>
      <c r="D48" s="25">
        <f>+[2]rapkvart!F146</f>
        <v>11</v>
      </c>
      <c r="E48" s="187">
        <f>+[2]rapkvart!G146</f>
        <v>7.464165904239092</v>
      </c>
      <c r="F48" s="26">
        <f>+[2]rapkvart!H146</f>
        <v>8.3675675675675674</v>
      </c>
      <c r="G48" s="26">
        <f>+[2]rapkvart!I146</f>
        <v>6.3782298909777699</v>
      </c>
      <c r="L48" s="195" t="str">
        <f>[2]rapkvart!A146</f>
        <v>Operating margin, %</v>
      </c>
      <c r="M48" s="25">
        <v>4.1506533435818778</v>
      </c>
      <c r="N48" s="26">
        <v>4.9352890422778639</v>
      </c>
      <c r="O48" s="25">
        <v>6.3782298909777699</v>
      </c>
      <c r="P48" s="187">
        <v>7.078087859846824</v>
      </c>
    </row>
    <row r="49" spans="1:16" ht="8.4499999999999993" customHeight="1" x14ac:dyDescent="0.15">
      <c r="A49" s="207" t="str">
        <f>+[2]rapkvart!B147</f>
        <v>Resultat före skatt, Mkr</v>
      </c>
      <c r="B49" s="25">
        <f>+[2]rapkvart!D147</f>
        <v>88.100000000000065</v>
      </c>
      <c r="C49" s="26">
        <f>+[2]rapkvart!E147</f>
        <v>34.599999999999852</v>
      </c>
      <c r="D49" s="25">
        <f>+[2]rapkvart!F147</f>
        <v>135.30000000000004</v>
      </c>
      <c r="E49" s="187">
        <f>+[2]rapkvart!G147</f>
        <v>93.499999999999915</v>
      </c>
      <c r="F49" s="26">
        <f>+[2]rapkvart!H147</f>
        <v>183.5</v>
      </c>
      <c r="G49" s="26">
        <f>+[2]rapkvart!I147</f>
        <v>141.7000000000001</v>
      </c>
      <c r="L49" s="195" t="str">
        <f>[2]rapkvart!A147</f>
        <v>Income after financial items, MSEK</v>
      </c>
      <c r="M49" s="25">
        <v>21.400000000000095</v>
      </c>
      <c r="N49" s="26">
        <v>22.200000000000227</v>
      </c>
      <c r="O49" s="25">
        <v>141.7000000000001</v>
      </c>
      <c r="P49" s="187">
        <v>132.90000000000015</v>
      </c>
    </row>
    <row r="50" spans="1:16" ht="8.4499999999999993" customHeight="1" x14ac:dyDescent="0.15">
      <c r="A50" s="207" t="str">
        <f>+[2]rapkvart!B148</f>
        <v>Resultatmarginal, %</v>
      </c>
      <c r="B50" s="25">
        <f>+[2]rapkvart!D148</f>
        <v>12.866949028771735</v>
      </c>
      <c r="C50" s="26">
        <f>+[2]rapkvart!E148</f>
        <v>5.1488095238095024</v>
      </c>
      <c r="D50" s="25">
        <f>+[2]rapkvart!F148</f>
        <v>10.4</v>
      </c>
      <c r="E50" s="187">
        <f>+[2]rapkvart!G148</f>
        <v>7.1286977737114912</v>
      </c>
      <c r="F50" s="26">
        <f>+[2]rapkvart!H148</f>
        <v>7.9351351351351349</v>
      </c>
      <c r="G50" s="26">
        <f>+[2]rapkvart!I148</f>
        <v>6.0820671302257745</v>
      </c>
      <c r="L50" s="195" t="str">
        <f>[2]rapkvart!A148</f>
        <v>Profit margin, %</v>
      </c>
      <c r="M50" s="25">
        <v>4.1122213681783419</v>
      </c>
      <c r="N50" s="26">
        <v>3.8308886971527554</v>
      </c>
      <c r="O50" s="25">
        <v>6.0820671302257745</v>
      </c>
      <c r="P50" s="187">
        <v>5.8499867946122084</v>
      </c>
    </row>
    <row r="51" spans="1:16" ht="8.4499999999999993" customHeight="1" x14ac:dyDescent="0.15">
      <c r="A51" s="207"/>
      <c r="B51" s="25"/>
      <c r="C51" s="26"/>
      <c r="D51" s="25"/>
      <c r="E51" s="187"/>
      <c r="F51" s="26"/>
      <c r="G51" s="26"/>
      <c r="L51" s="195"/>
      <c r="M51" s="177"/>
      <c r="N51" s="26"/>
      <c r="O51" s="177"/>
      <c r="P51" s="187"/>
    </row>
    <row r="52" spans="1:16" ht="8.4499999999999993" customHeight="1" x14ac:dyDescent="0.15">
      <c r="A52" s="207" t="s">
        <v>343</v>
      </c>
      <c r="B52" s="25">
        <f>+[2]rapkvart!D151</f>
        <v>39.1</v>
      </c>
      <c r="C52" s="26">
        <f>+[2]rapkvart!E151</f>
        <v>17</v>
      </c>
      <c r="D52" s="25">
        <f>+[2]rapkvart!F151</f>
        <v>30</v>
      </c>
      <c r="E52" s="187">
        <f>+[2]rapkvart!G151</f>
        <v>23.3</v>
      </c>
      <c r="F52" s="26">
        <f>+[2]rapkvart!H151</f>
        <v>21.5</v>
      </c>
      <c r="G52" s="26">
        <f>+[2]rapkvart!I151</f>
        <v>17</v>
      </c>
      <c r="L52" s="195" t="str">
        <f>[2]rapkvart!A151</f>
        <v>Return on capital employed, %</v>
      </c>
      <c r="M52" s="25">
        <v>10.199999999999999</v>
      </c>
      <c r="N52" s="26">
        <v>11.6</v>
      </c>
      <c r="O52" s="25">
        <v>17</v>
      </c>
      <c r="P52" s="187">
        <v>17.899999999999999</v>
      </c>
    </row>
    <row r="53" spans="1:16" ht="8.4499999999999993" customHeight="1" x14ac:dyDescent="0.15">
      <c r="A53" s="207" t="s">
        <v>534</v>
      </c>
      <c r="B53" s="25">
        <v>8.1999999999999993</v>
      </c>
      <c r="C53" s="26">
        <v>7.4</v>
      </c>
      <c r="D53" s="25">
        <v>15.8</v>
      </c>
      <c r="E53" s="187">
        <v>15.2</v>
      </c>
      <c r="F53" s="26"/>
      <c r="G53" s="26"/>
      <c r="H53" s="123" t="s">
        <v>529</v>
      </c>
      <c r="L53" s="195" t="str">
        <f>[2]rapkvart!A150</f>
        <v>Return on equity, %</v>
      </c>
      <c r="M53" s="25">
        <v>8.1999999999999993</v>
      </c>
      <c r="N53" s="26">
        <v>7.4</v>
      </c>
      <c r="O53" s="25">
        <v>15.8</v>
      </c>
      <c r="P53" s="187">
        <v>15.2</v>
      </c>
    </row>
    <row r="54" spans="1:16" ht="8.4499999999999993" customHeight="1" x14ac:dyDescent="0.15">
      <c r="A54" s="207"/>
      <c r="B54" s="25"/>
      <c r="C54" s="26"/>
      <c r="D54" s="25"/>
      <c r="E54" s="187"/>
      <c r="F54" s="26"/>
      <c r="G54" s="26"/>
      <c r="H54" s="123"/>
      <c r="L54" s="195"/>
      <c r="M54" s="25"/>
      <c r="N54" s="26"/>
      <c r="O54" s="25"/>
      <c r="P54" s="187"/>
    </row>
    <row r="55" spans="1:16" ht="8.4499999999999993" customHeight="1" x14ac:dyDescent="0.15">
      <c r="A55" s="207" t="str">
        <f>+[2]rapkvart!B159</f>
        <v>Nettoskuldsättningsgrad, ggr</v>
      </c>
      <c r="B55" s="25" t="str">
        <f>+[2]rapkvart!D159</f>
        <v>-</v>
      </c>
      <c r="C55" s="26" t="str">
        <f>+[2]rapkvart!E159</f>
        <v>-</v>
      </c>
      <c r="D55" s="25">
        <f>+[2]rapkvart!F159</f>
        <v>0.13</v>
      </c>
      <c r="E55" s="187">
        <f>+[2]rapkvart!G159</f>
        <v>0.17</v>
      </c>
      <c r="F55" s="26" t="str">
        <f>+[2]rapkvart!H158</f>
        <v>-</v>
      </c>
      <c r="G55" s="26">
        <f>+[2]rapkvart!I158</f>
        <v>223.8</v>
      </c>
      <c r="L55" s="195" t="str">
        <f>+[2]rapkvart!A159</f>
        <v>Net debt/equity ratio</v>
      </c>
      <c r="M55" s="25" t="s">
        <v>17</v>
      </c>
      <c r="N55" s="26" t="s">
        <v>17</v>
      </c>
      <c r="O55" s="25">
        <v>0.24</v>
      </c>
      <c r="P55" s="187">
        <v>0.08</v>
      </c>
    </row>
    <row r="56" spans="1:16" ht="8.4499999999999993" customHeight="1" x14ac:dyDescent="0.15">
      <c r="A56" s="207" t="str">
        <f>+[2]rapkvart!B161</f>
        <v>Balansomslutning, Mkr</v>
      </c>
      <c r="B56" s="25" t="str">
        <f>+[2]rapkvart!D161</f>
        <v>-</v>
      </c>
      <c r="C56" s="26" t="str">
        <f>+[2]rapkvart!E161</f>
        <v>-</v>
      </c>
      <c r="D56" s="25">
        <f>+[2]rapkvart!F161</f>
        <v>1478.2</v>
      </c>
      <c r="E56" s="187">
        <f>+[2]rapkvart!G161</f>
        <v>1473.3</v>
      </c>
      <c r="F56" s="26"/>
      <c r="G56" s="26"/>
      <c r="L56" s="195" t="str">
        <f>[2]rapkvart!A161</f>
        <v>Total assets, MSEK</v>
      </c>
      <c r="M56" s="25" t="s">
        <v>17</v>
      </c>
      <c r="N56" s="26" t="s">
        <v>17</v>
      </c>
      <c r="O56" s="25">
        <v>1400.6</v>
      </c>
      <c r="P56" s="187">
        <v>1357.8999999999999</v>
      </c>
    </row>
    <row r="57" spans="1:16" ht="13.5" customHeight="1" x14ac:dyDescent="0.15">
      <c r="A57" s="207" t="s">
        <v>34</v>
      </c>
      <c r="B57" s="25" t="s">
        <v>17</v>
      </c>
      <c r="C57" s="26" t="s">
        <v>17</v>
      </c>
      <c r="D57" s="25">
        <v>698.8</v>
      </c>
      <c r="E57" s="187">
        <v>657.6</v>
      </c>
      <c r="F57" s="26" t="str">
        <f>+[2]rapkvart!H161</f>
        <v>-</v>
      </c>
      <c r="G57" s="26">
        <f>+[2]rapkvart!I161</f>
        <v>1400.6</v>
      </c>
      <c r="L57" s="195" t="str">
        <f>[2]rapkvart!A71</f>
        <v>Total equity attributable to the parent Company´s shareholders</v>
      </c>
      <c r="M57" s="25" t="s">
        <v>17</v>
      </c>
      <c r="N57" s="26" t="s">
        <v>17</v>
      </c>
      <c r="O57" s="25">
        <v>698.8</v>
      </c>
      <c r="P57" s="187">
        <v>657.6</v>
      </c>
    </row>
    <row r="58" spans="1:16" ht="8.4499999999999993" customHeight="1" x14ac:dyDescent="0.15">
      <c r="A58" s="207" t="str">
        <f>+[2]rapkvart!B162</f>
        <v>Soliditet, %</v>
      </c>
      <c r="B58" s="25" t="str">
        <f>+[2]rapkvart!D162</f>
        <v>-</v>
      </c>
      <c r="C58" s="26" t="str">
        <f>+[2]rapkvart!E162</f>
        <v>-</v>
      </c>
      <c r="D58" s="25">
        <f>+[2]rapkvart!F162</f>
        <v>54.5</v>
      </c>
      <c r="E58" s="187">
        <f>+[2]rapkvart!G162</f>
        <v>47.5</v>
      </c>
      <c r="F58" s="26"/>
      <c r="G58" s="26"/>
      <c r="H58" s="123" t="s">
        <v>529</v>
      </c>
      <c r="L58" s="195" t="str">
        <f>[2]rapkvart!A162</f>
        <v>Equity ratio, %</v>
      </c>
      <c r="M58" s="25" t="s">
        <v>17</v>
      </c>
      <c r="N58" s="26" t="s">
        <v>17</v>
      </c>
      <c r="O58" s="25">
        <v>51</v>
      </c>
      <c r="P58" s="187">
        <v>49.7</v>
      </c>
    </row>
    <row r="59" spans="1:16" ht="8.4499999999999993" customHeight="1" x14ac:dyDescent="0.15">
      <c r="A59" s="207" t="str">
        <f>+[2]rapkvart!B163</f>
        <v>Kapitalomsättningshastighet, ggr</v>
      </c>
      <c r="B59" s="25" t="str">
        <f>+[2]rapkvart!D163</f>
        <v>-</v>
      </c>
      <c r="C59" s="26" t="str">
        <f>+[2]rapkvart!E163</f>
        <v>-</v>
      </c>
      <c r="D59" s="25">
        <f>+[2]rapkvart!F163</f>
        <v>2.8</v>
      </c>
      <c r="E59" s="187">
        <f>+[2]rapkvart!G163</f>
        <v>3.2</v>
      </c>
      <c r="F59" s="26" t="str">
        <f>+[2]rapkvart!H162</f>
        <v>-</v>
      </c>
      <c r="G59" s="26">
        <f>+[2]rapkvart!I162</f>
        <v>51</v>
      </c>
      <c r="L59" s="195" t="str">
        <f>[2]rapkvart!A163</f>
        <v>Capital turnover</v>
      </c>
      <c r="M59" s="25" t="s">
        <v>17</v>
      </c>
      <c r="N59" s="26" t="s">
        <v>17</v>
      </c>
      <c r="O59" s="25">
        <v>2.7</v>
      </c>
      <c r="P59" s="187">
        <v>2.9</v>
      </c>
    </row>
    <row r="60" spans="1:16" ht="8.4499999999999993" customHeight="1" x14ac:dyDescent="0.15">
      <c r="A60" s="207" t="str">
        <f>+[2]rapkvart!B164</f>
        <v>Andel riskbärande kapital, %</v>
      </c>
      <c r="B60" s="25" t="str">
        <f>+[2]rapkvart!D164</f>
        <v>-</v>
      </c>
      <c r="C60" s="26" t="str">
        <f>+[2]rapkvart!E164</f>
        <v>-</v>
      </c>
      <c r="D60" s="25">
        <f>+[2]rapkvart!F164</f>
        <v>61.1</v>
      </c>
      <c r="E60" s="187">
        <f>+[2]rapkvart!G164</f>
        <v>53.8</v>
      </c>
      <c r="F60" s="26">
        <f>+[2]rapkvart!H163</f>
        <v>2.6</v>
      </c>
      <c r="G60" s="26">
        <f>+[2]rapkvart!I163</f>
        <v>2.7</v>
      </c>
      <c r="L60" s="195" t="str">
        <f>[2]rapkvart!A164</f>
        <v>Proportion of risk-bearing capital, %</v>
      </c>
      <c r="M60" s="25" t="s">
        <v>17</v>
      </c>
      <c r="N60" s="26" t="s">
        <v>17</v>
      </c>
      <c r="O60" s="25">
        <v>57.9</v>
      </c>
      <c r="P60" s="187">
        <v>56.5</v>
      </c>
    </row>
    <row r="61" spans="1:16" ht="8.4499999999999993" customHeight="1" x14ac:dyDescent="0.15">
      <c r="A61" s="207" t="str">
        <f>+[2]rapkvart!B165</f>
        <v>Räntetäckningsgrad, ggr</v>
      </c>
      <c r="B61" s="25">
        <f>+[2]rapkvart!D165</f>
        <v>38.6</v>
      </c>
      <c r="C61" s="26">
        <f>+[2]rapkvart!E165</f>
        <v>26.9</v>
      </c>
      <c r="D61" s="25">
        <f>+[2]rapkvart!F165</f>
        <v>32.5</v>
      </c>
      <c r="E61" s="187">
        <f>+[2]rapkvart!G165</f>
        <v>33.799999999999997</v>
      </c>
      <c r="F61" s="26" t="str">
        <f>+[2]rapkvart!H164</f>
        <v>-</v>
      </c>
      <c r="G61" s="26">
        <f>+[2]rapkvart!I164</f>
        <v>57.9</v>
      </c>
      <c r="L61" s="195" t="str">
        <f>[2]rapkvart!A165</f>
        <v>Interest coverage ratio</v>
      </c>
      <c r="M61" s="25">
        <v>11.2</v>
      </c>
      <c r="N61" s="26">
        <v>23.9</v>
      </c>
      <c r="O61" s="25">
        <v>23.9</v>
      </c>
      <c r="P61" s="187">
        <v>19.600000000000001</v>
      </c>
    </row>
    <row r="62" spans="1:16" ht="8.4499999999999993" customHeight="1" x14ac:dyDescent="0.15">
      <c r="A62" s="207"/>
      <c r="B62" s="25"/>
      <c r="C62" s="26"/>
      <c r="D62" s="25"/>
      <c r="E62" s="187"/>
      <c r="F62" s="26">
        <f>+[2]rapkvart!H165</f>
        <v>25.1</v>
      </c>
      <c r="G62" s="26">
        <f>+[2]rapkvart!I165</f>
        <v>23.9</v>
      </c>
      <c r="L62" s="197"/>
      <c r="M62" s="25"/>
      <c r="N62" s="26"/>
      <c r="O62" s="25"/>
      <c r="P62" s="187"/>
    </row>
    <row r="63" spans="1:16" ht="8.4499999999999993" customHeight="1" x14ac:dyDescent="0.15">
      <c r="A63" s="207" t="s">
        <v>383</v>
      </c>
      <c r="B63" s="25">
        <f>+[2]rapkvart!D173</f>
        <v>9.34</v>
      </c>
      <c r="C63" s="26">
        <f>+[2]rapkvart!E173</f>
        <v>3.2800000000000011</v>
      </c>
      <c r="D63" s="25">
        <f>+[2]rapkvart!F173</f>
        <v>14.16</v>
      </c>
      <c r="E63" s="187">
        <f>+[2]rapkvart!G173</f>
        <v>9.3000000000000007</v>
      </c>
      <c r="F63" s="72">
        <f>+[2]rapkvart!H172</f>
        <v>7399</v>
      </c>
      <c r="G63" s="72">
        <f>+[2]rapkvart!I172</f>
        <v>7399</v>
      </c>
      <c r="L63" s="195" t="str">
        <f>[2]rapkvart!A173</f>
        <v>Earnings per share from continuing operations, SEK</v>
      </c>
      <c r="M63" s="25">
        <v>1.8499999999999996</v>
      </c>
      <c r="N63" s="26">
        <v>1.66</v>
      </c>
      <c r="O63" s="25">
        <v>14.27</v>
      </c>
      <c r="P63" s="187">
        <v>12.67</v>
      </c>
    </row>
    <row r="64" spans="1:16" ht="8.4499999999999993" customHeight="1" x14ac:dyDescent="0.15">
      <c r="A64" s="207" t="s">
        <v>387</v>
      </c>
      <c r="B64" s="25">
        <f>+[2]rapkvart!D174</f>
        <v>-8.9999999999999858E-2</v>
      </c>
      <c r="C64" s="26">
        <f>+[2]rapkvart!E174</f>
        <v>-1.0200000000000014</v>
      </c>
      <c r="D64" s="25">
        <f>+[2]rapkvart!F174</f>
        <v>-0.46000000000000085</v>
      </c>
      <c r="E64" s="187">
        <f>+[2]rapkvart!G174</f>
        <v>-1.3900000000000006</v>
      </c>
      <c r="F64" s="70">
        <f>+[2]rapkvart!H173</f>
        <v>0</v>
      </c>
      <c r="G64" s="70">
        <f>+[2]rapkvart!I173</f>
        <v>14.27</v>
      </c>
      <c r="L64" s="195" t="str">
        <f>[2]rapkvart!A174</f>
        <v>Earnings per share fom discontinued operations, SEK</v>
      </c>
      <c r="M64" s="25">
        <v>-2.09</v>
      </c>
      <c r="N64" s="26">
        <v>0</v>
      </c>
      <c r="O64" s="25">
        <v>-4.33</v>
      </c>
      <c r="P64" s="187">
        <v>0</v>
      </c>
    </row>
    <row r="65" spans="1:16" ht="8.4499999999999993" customHeight="1" x14ac:dyDescent="0.15">
      <c r="A65" s="207" t="str">
        <f>A42</f>
        <v>Periodens resultat per aktie efter skatt, kr</v>
      </c>
      <c r="B65" s="25">
        <f>+[2]rapkvart!D175</f>
        <v>9.25</v>
      </c>
      <c r="C65" s="26">
        <f>+[2]rapkvart!E175</f>
        <v>2.2599999999999998</v>
      </c>
      <c r="D65" s="25">
        <f>+[2]rapkvart!F175</f>
        <v>13.7</v>
      </c>
      <c r="E65" s="187">
        <f>+[2]rapkvart!G175</f>
        <v>7.91</v>
      </c>
      <c r="F65" s="26">
        <f>+[2]rapkvart!H174</f>
        <v>0</v>
      </c>
      <c r="G65" s="70">
        <f>+[2]rapkvart!I174</f>
        <v>-4.33</v>
      </c>
      <c r="L65" s="195" t="s">
        <v>272</v>
      </c>
      <c r="M65" s="25">
        <v>-0.24000000000000021</v>
      </c>
      <c r="N65" s="26">
        <v>1.66</v>
      </c>
      <c r="O65" s="25">
        <v>9.94</v>
      </c>
      <c r="P65" s="187">
        <v>12.67</v>
      </c>
    </row>
    <row r="66" spans="1:16" ht="8.4499999999999993" customHeight="1" x14ac:dyDescent="0.15">
      <c r="A66" s="208" t="str">
        <f>+[2]rapkvart!B176</f>
        <v>Eget kapital per aktie, kr</v>
      </c>
      <c r="B66" s="136" t="str">
        <f>+[2]rapkvart!D176</f>
        <v>-</v>
      </c>
      <c r="C66" s="137" t="str">
        <f>+[2]rapkvart!E176</f>
        <v>-</v>
      </c>
      <c r="D66" s="136">
        <f>+[2]rapkvart!F176</f>
        <v>107.42</v>
      </c>
      <c r="E66" s="193">
        <f>+[2]rapkvart!G176</f>
        <v>92.5</v>
      </c>
      <c r="F66" s="26">
        <f>+[2]rapkvart!H175</f>
        <v>15.72</v>
      </c>
      <c r="G66" s="70">
        <f>+[2]rapkvart!I175</f>
        <v>9.94</v>
      </c>
      <c r="L66" s="202" t="str">
        <f>+[2]rapkvart!A176</f>
        <v>Equity per share, SEK</v>
      </c>
      <c r="M66" s="27" t="s">
        <v>17</v>
      </c>
      <c r="N66" s="28" t="s">
        <v>17</v>
      </c>
      <c r="O66" s="27">
        <v>94.45</v>
      </c>
      <c r="P66" s="203">
        <v>88.88</v>
      </c>
    </row>
    <row r="67" spans="1:16" ht="7.5" customHeight="1" x14ac:dyDescent="0.15">
      <c r="F67" s="26"/>
      <c r="G67" s="26"/>
    </row>
    <row r="68" spans="1:16" s="57" customFormat="1" ht="9.6" customHeight="1" x14ac:dyDescent="0.25">
      <c r="B68" s="181"/>
      <c r="C68" s="181"/>
      <c r="D68" s="181"/>
      <c r="E68" s="181"/>
      <c r="F68" s="181"/>
      <c r="G68" s="181"/>
      <c r="H68" s="176"/>
    </row>
    <row r="69" spans="1:16" s="57" customFormat="1" ht="9.6" customHeight="1" x14ac:dyDescent="0.25">
      <c r="A69" s="2"/>
      <c r="B69" s="2"/>
      <c r="C69" s="2"/>
      <c r="D69" s="63"/>
      <c r="E69" s="2"/>
      <c r="F69" s="181"/>
      <c r="G69" s="181"/>
      <c r="H69" s="176"/>
    </row>
    <row r="72" spans="1:16" x14ac:dyDescent="0.15">
      <c r="A72" s="2" t="s">
        <v>535</v>
      </c>
    </row>
    <row r="73" spans="1:16" x14ac:dyDescent="0.15">
      <c r="A73" s="2" t="s">
        <v>536</v>
      </c>
    </row>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9FFF1-A080-4685-A14F-5A489745B06E}">
  <sheetPr>
    <tabColor theme="8" tint="-0.249977111117893"/>
  </sheetPr>
  <dimension ref="A1"/>
  <sheetViews>
    <sheetView workbookViewId="0"/>
    <sheetView workbookViewId="1"/>
  </sheetViews>
  <sheetFormatPr defaultColWidth="9.140625" defaultRowHeight="15" x14ac:dyDescent="0.25"/>
  <cols>
    <col min="1" max="16384" width="9.140625" style="774"/>
  </cols>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BP38"/>
  <sheetViews>
    <sheetView workbookViewId="0"/>
    <sheetView workbookViewId="1"/>
  </sheetViews>
  <sheetFormatPr defaultColWidth="9.140625" defaultRowHeight="15" outlineLevelRow="1" x14ac:dyDescent="0.25"/>
  <cols>
    <col min="1" max="1" width="17.42578125" style="601" bestFit="1" customWidth="1"/>
    <col min="2" max="2" width="9.140625" style="1438"/>
    <col min="3" max="3" width="14.7109375" style="601" customWidth="1"/>
    <col min="4" max="15" width="4.7109375" style="601" customWidth="1"/>
    <col min="16" max="16" width="2.7109375" style="601" customWidth="1"/>
    <col min="17" max="28" width="5.28515625" style="601" customWidth="1"/>
    <col min="29" max="29" width="2.7109375" style="601" customWidth="1"/>
    <col min="30" max="30" width="35.7109375" style="601" customWidth="1"/>
    <col min="31" max="31" width="4.7109375" style="601" customWidth="1"/>
    <col min="32" max="35" width="9.28515625" style="1255" customWidth="1"/>
    <col min="36" max="36" width="9.28515625" style="1255" hidden="1" customWidth="1"/>
    <col min="37" max="37" width="9.28515625" style="1255" customWidth="1"/>
    <col min="38" max="38" width="4.140625" style="601" customWidth="1"/>
    <col min="39" max="39" width="1.5703125" style="601" bestFit="1" customWidth="1"/>
    <col min="40" max="40" width="2.28515625" style="601" bestFit="1" customWidth="1"/>
    <col min="41" max="41" width="4.140625" style="601" customWidth="1"/>
    <col min="42" max="42" width="25.140625" style="601" customWidth="1"/>
    <col min="43" max="43" width="5.42578125" style="601" customWidth="1"/>
    <col min="44" max="47" width="9.28515625" style="601" customWidth="1"/>
    <col min="48" max="48" width="9.28515625" style="601" hidden="1" customWidth="1"/>
    <col min="49" max="49" width="9.28515625" style="601" customWidth="1"/>
    <col min="50" max="16384" width="9.140625" style="601"/>
  </cols>
  <sheetData>
    <row r="1" spans="1:68" x14ac:dyDescent="0.25">
      <c r="B1" s="1932"/>
      <c r="C1" s="1933"/>
      <c r="D1" s="1933"/>
      <c r="E1" s="1933"/>
      <c r="F1" s="1933"/>
      <c r="G1" s="1933"/>
      <c r="H1" s="1933"/>
      <c r="I1" s="1933"/>
      <c r="J1" s="1933"/>
      <c r="K1" s="1933"/>
      <c r="L1" s="1933"/>
      <c r="M1" s="1933"/>
      <c r="N1" s="1933"/>
      <c r="O1" s="1933"/>
      <c r="Q1" s="1933"/>
      <c r="R1" s="1933"/>
      <c r="S1" s="1933"/>
      <c r="T1" s="1933"/>
      <c r="U1" s="1933"/>
      <c r="V1" s="1933"/>
      <c r="W1" s="1933"/>
      <c r="X1" s="1933"/>
      <c r="Y1" s="1933"/>
      <c r="Z1" s="1933"/>
      <c r="AA1" s="1933"/>
      <c r="AB1" s="1933"/>
      <c r="AD1" s="1445"/>
      <c r="AE1" s="1445"/>
      <c r="AF1" s="1445"/>
      <c r="AG1" s="1445"/>
      <c r="AH1" s="1445"/>
      <c r="AI1" s="1445"/>
      <c r="AJ1" s="1445"/>
      <c r="AK1" s="1445"/>
      <c r="AP1" s="1445"/>
      <c r="AQ1" s="1445"/>
      <c r="AR1" s="1445"/>
      <c r="AS1" s="1445"/>
      <c r="AT1" s="1445"/>
      <c r="AU1" s="1445"/>
      <c r="AV1" s="1445"/>
      <c r="AW1" s="1445"/>
    </row>
    <row r="3" spans="1:68" x14ac:dyDescent="0.25">
      <c r="B3" s="794" t="s">
        <v>687</v>
      </c>
      <c r="C3" s="1439"/>
      <c r="D3" s="1439"/>
      <c r="E3" s="1439"/>
      <c r="F3" s="1439"/>
      <c r="G3" s="1439"/>
      <c r="H3" s="1439"/>
      <c r="I3" s="1439"/>
      <c r="J3" s="1439"/>
      <c r="K3" s="1439"/>
      <c r="L3" s="1439"/>
      <c r="M3" s="1439"/>
      <c r="N3" s="1439"/>
      <c r="O3" s="1439"/>
      <c r="P3" s="1439"/>
      <c r="Q3" s="1439"/>
      <c r="R3" s="1439"/>
      <c r="S3" s="1439"/>
      <c r="T3" s="1439"/>
      <c r="U3" s="1439"/>
      <c r="V3" s="1439"/>
      <c r="W3" s="1439"/>
      <c r="X3" s="1439"/>
      <c r="Y3" s="1439"/>
      <c r="Z3" s="1439"/>
      <c r="AA3" s="1439"/>
      <c r="AB3" s="1439"/>
      <c r="AD3" s="794" t="s">
        <v>688</v>
      </c>
      <c r="AE3" s="1439"/>
      <c r="AF3" s="1439"/>
      <c r="AG3" s="1439"/>
      <c r="AH3" s="1439"/>
      <c r="AI3" s="1439"/>
      <c r="AJ3" s="1439"/>
      <c r="AK3" s="1439"/>
      <c r="AP3" s="794" t="s">
        <v>689</v>
      </c>
      <c r="AQ3" s="1439"/>
      <c r="AR3" s="1439"/>
      <c r="AS3" s="1439"/>
      <c r="AT3" s="1439"/>
      <c r="AU3" s="1439"/>
      <c r="AV3" s="1439"/>
      <c r="AW3" s="1439"/>
    </row>
    <row r="5" spans="1:68" s="259" customFormat="1" ht="10.5" customHeight="1" x14ac:dyDescent="0.25">
      <c r="B5" s="814"/>
      <c r="AD5" s="257" t="s">
        <v>522</v>
      </c>
      <c r="AE5" s="257"/>
      <c r="AF5" s="390"/>
      <c r="AG5" s="390"/>
      <c r="AH5" s="390"/>
      <c r="AI5" s="390"/>
      <c r="AJ5" s="390"/>
      <c r="AK5" s="390"/>
      <c r="AM5" s="601"/>
      <c r="AN5" s="601"/>
      <c r="AP5" s="771" t="s">
        <v>523</v>
      </c>
      <c r="AQ5" s="257"/>
      <c r="BI5" s="601"/>
      <c r="BJ5" s="601"/>
      <c r="BK5" s="601"/>
      <c r="BL5" s="601"/>
      <c r="BM5" s="601"/>
      <c r="BN5" s="601"/>
      <c r="BO5" s="601"/>
      <c r="BP5" s="601"/>
    </row>
    <row r="6" spans="1:68" s="259" customFormat="1" ht="12.75" customHeight="1" x14ac:dyDescent="0.25">
      <c r="B6" s="1437"/>
      <c r="C6" s="261"/>
      <c r="D6" s="261" t="s">
        <v>159</v>
      </c>
      <c r="E6" s="261" t="s">
        <v>159</v>
      </c>
      <c r="F6" s="261" t="s">
        <v>159</v>
      </c>
      <c r="G6" s="261" t="s">
        <v>159</v>
      </c>
      <c r="H6" s="261" t="s">
        <v>159</v>
      </c>
      <c r="I6" s="261" t="s">
        <v>159</v>
      </c>
      <c r="J6" s="261" t="s">
        <v>159</v>
      </c>
      <c r="K6" s="261" t="s">
        <v>159</v>
      </c>
      <c r="L6" s="261" t="s">
        <v>159</v>
      </c>
      <c r="M6" s="261" t="s">
        <v>159</v>
      </c>
      <c r="N6" s="261" t="s">
        <v>159</v>
      </c>
      <c r="O6" s="261" t="s">
        <v>159</v>
      </c>
      <c r="Q6" s="261" t="s">
        <v>160</v>
      </c>
      <c r="R6" s="261" t="s">
        <v>160</v>
      </c>
      <c r="S6" s="261" t="s">
        <v>160</v>
      </c>
      <c r="T6" s="261" t="s">
        <v>160</v>
      </c>
      <c r="U6" s="261" t="s">
        <v>160</v>
      </c>
      <c r="V6" s="261" t="s">
        <v>160</v>
      </c>
      <c r="W6" s="261" t="s">
        <v>160</v>
      </c>
      <c r="X6" s="261" t="s">
        <v>160</v>
      </c>
      <c r="Y6" s="261" t="s">
        <v>160</v>
      </c>
      <c r="Z6" s="261" t="s">
        <v>160</v>
      </c>
      <c r="AA6" s="261" t="s">
        <v>160</v>
      </c>
      <c r="AB6" s="261" t="s">
        <v>160</v>
      </c>
      <c r="AD6" s="265"/>
      <c r="AE6" s="265"/>
      <c r="AF6" s="261" t="str">
        <f>[2]rapkvart!$D$87</f>
        <v>Kvartal 2</v>
      </c>
      <c r="AG6" s="261" t="str">
        <f>[2]rapkvart!$E$87</f>
        <v>Kvartal 2</v>
      </c>
      <c r="AH6" s="261" t="str">
        <f>[2]rapkvart!$F$87</f>
        <v>Kvartal 1-2</v>
      </c>
      <c r="AI6" s="261" t="str">
        <f>[2]rapkvart!$G$87</f>
        <v>Kvartal 1-2</v>
      </c>
      <c r="AJ6" s="261" t="s">
        <v>199</v>
      </c>
      <c r="AK6" s="261" t="s">
        <v>32</v>
      </c>
      <c r="AM6" s="601"/>
      <c r="AN6" s="601"/>
      <c r="AP6" s="265"/>
      <c r="AQ6" s="265"/>
      <c r="AR6" s="261" t="s">
        <v>200</v>
      </c>
      <c r="AS6" s="261" t="s">
        <v>200</v>
      </c>
      <c r="AT6" s="261" t="s">
        <v>201</v>
      </c>
      <c r="AU6" s="261" t="s">
        <v>201</v>
      </c>
      <c r="AV6" s="261" t="s">
        <v>202</v>
      </c>
      <c r="AW6" s="261" t="s">
        <v>203</v>
      </c>
      <c r="BF6" s="601"/>
      <c r="BG6" s="601"/>
      <c r="BH6" s="601"/>
      <c r="BI6" s="601"/>
      <c r="BJ6" s="601"/>
      <c r="BK6" s="601"/>
      <c r="BL6" s="601"/>
      <c r="BM6" s="601"/>
      <c r="BN6" s="601"/>
      <c r="BO6" s="601"/>
      <c r="BP6" s="601"/>
    </row>
    <row r="7" spans="1:68" s="259" customFormat="1" ht="9" customHeight="1" x14ac:dyDescent="0.15">
      <c r="B7" s="1411" t="str">
        <f>[2]rapkvart!B88</f>
        <v>Mkr</v>
      </c>
      <c r="C7" s="948"/>
      <c r="D7" s="948">
        <v>2403</v>
      </c>
      <c r="E7" s="948">
        <f>D7+3</f>
        <v>2406</v>
      </c>
      <c r="F7" s="948">
        <f t="shared" ref="F7:G7" si="0">E7+3</f>
        <v>2409</v>
      </c>
      <c r="G7" s="948">
        <f t="shared" si="0"/>
        <v>2412</v>
      </c>
      <c r="H7" s="948">
        <f>D7+100</f>
        <v>2503</v>
      </c>
      <c r="I7" s="948">
        <f t="shared" ref="I7:K7" si="1">E7+100</f>
        <v>2506</v>
      </c>
      <c r="J7" s="948">
        <f t="shared" si="1"/>
        <v>2509</v>
      </c>
      <c r="K7" s="948">
        <f t="shared" si="1"/>
        <v>2512</v>
      </c>
      <c r="L7" s="948">
        <f t="shared" ref="L7" si="2">H7+100</f>
        <v>2603</v>
      </c>
      <c r="M7" s="948">
        <f t="shared" ref="M7" si="3">I7+100</f>
        <v>2606</v>
      </c>
      <c r="N7" s="948">
        <f t="shared" ref="N7:O7" si="4">J7+100</f>
        <v>2609</v>
      </c>
      <c r="O7" s="948">
        <f t="shared" si="4"/>
        <v>2612</v>
      </c>
      <c r="Q7" s="948">
        <f>D7</f>
        <v>2403</v>
      </c>
      <c r="R7" s="948">
        <f t="shared" ref="R7:Y7" si="5">E7</f>
        <v>2406</v>
      </c>
      <c r="S7" s="948">
        <f t="shared" si="5"/>
        <v>2409</v>
      </c>
      <c r="T7" s="948">
        <f t="shared" si="5"/>
        <v>2412</v>
      </c>
      <c r="U7" s="948">
        <f t="shared" si="5"/>
        <v>2503</v>
      </c>
      <c r="V7" s="948">
        <f t="shared" si="5"/>
        <v>2506</v>
      </c>
      <c r="W7" s="948">
        <f t="shared" si="5"/>
        <v>2509</v>
      </c>
      <c r="X7" s="948">
        <f t="shared" si="5"/>
        <v>2512</v>
      </c>
      <c r="Y7" s="948">
        <f t="shared" si="5"/>
        <v>2603</v>
      </c>
      <c r="Z7" s="948">
        <f t="shared" ref="Z7" si="6">M7</f>
        <v>2606</v>
      </c>
      <c r="AA7" s="948">
        <f t="shared" ref="AA7" si="7">N7</f>
        <v>2609</v>
      </c>
      <c r="AB7" s="948">
        <f t="shared" ref="AB7" si="8">O7</f>
        <v>2612</v>
      </c>
      <c r="AD7" s="273" t="str">
        <f>+[2]rapkvart!B88</f>
        <v>Mkr</v>
      </c>
      <c r="AE7" s="275" t="str">
        <f>+[2]rapkvart!$C$102</f>
        <v>Not</v>
      </c>
      <c r="AF7" s="948">
        <f>[2]rapkvart!$D$88</f>
        <v>2026</v>
      </c>
      <c r="AG7" s="948">
        <f>[2]rapkvart!$E$88</f>
        <v>2025</v>
      </c>
      <c r="AH7" s="948">
        <f>[2]rapkvart!$F$88</f>
        <v>2026</v>
      </c>
      <c r="AI7" s="948">
        <f>[2]rapkvart!$G$88</f>
        <v>2025</v>
      </c>
      <c r="AJ7" s="948">
        <v>2026</v>
      </c>
      <c r="AK7" s="948">
        <f>[2]rapkvart!$I$88</f>
        <v>2025</v>
      </c>
      <c r="AP7" s="273" t="s">
        <v>218</v>
      </c>
      <c r="AQ7" s="275" t="s">
        <v>219</v>
      </c>
      <c r="AR7" s="948">
        <f>AF7</f>
        <v>2026</v>
      </c>
      <c r="AS7" s="948">
        <f>AG7</f>
        <v>2025</v>
      </c>
      <c r="AT7" s="948">
        <f>AH7</f>
        <v>2026</v>
      </c>
      <c r="AU7" s="948">
        <f>AI7</f>
        <v>2025</v>
      </c>
      <c r="AV7" s="948">
        <v>2026</v>
      </c>
      <c r="AW7" s="948">
        <f>AK7</f>
        <v>2025</v>
      </c>
    </row>
    <row r="8" spans="1:68" s="259" customFormat="1" ht="9.1999999999999993" customHeight="1" x14ac:dyDescent="0.15">
      <c r="B8" s="1440" t="str">
        <f>[2]rapkvart!B89</f>
        <v>Totalt eget kapital vid periodens början</v>
      </c>
      <c r="C8" s="1427"/>
      <c r="D8" s="1427">
        <f>[2]rapkvart!S89</f>
        <v>615.49999999999977</v>
      </c>
      <c r="E8" s="1427">
        <f>[2]rapkvart!T89</f>
        <v>615.49999999999977</v>
      </c>
      <c r="F8" s="1427">
        <f>[2]rapkvart!U89</f>
        <v>615.49999999999977</v>
      </c>
      <c r="G8" s="1427">
        <f>[2]rapkvart!V89</f>
        <v>615.49999999999977</v>
      </c>
      <c r="H8" s="1427">
        <f>[2]rapkvart!O89</f>
        <v>674.3</v>
      </c>
      <c r="I8" s="1427">
        <f>[2]rapkvart!P89</f>
        <v>674.3</v>
      </c>
      <c r="J8" s="1427">
        <f>[2]rapkvart!Q89</f>
        <v>674.3</v>
      </c>
      <c r="K8" s="1427">
        <f>[2]rapkvart!R89</f>
        <v>674.3</v>
      </c>
      <c r="L8" s="1427">
        <f>[2]rapkvart!K89</f>
        <v>714.80000000000007</v>
      </c>
      <c r="M8" s="1427">
        <f>[2]rapkvart!L89</f>
        <v>714.80000000000007</v>
      </c>
      <c r="N8" s="1427">
        <f>[2]rapkvart!M89</f>
        <v>714.80000000000007</v>
      </c>
      <c r="O8" s="1427">
        <f>[2]rapkvart!N89</f>
        <v>714.80000000000007</v>
      </c>
      <c r="Q8" s="1427">
        <f>[2]rapkvart!AE89</f>
        <v>615.49999999999977</v>
      </c>
      <c r="R8" s="1427">
        <f>[2]rapkvart!AF89</f>
        <v>641.79999999999984</v>
      </c>
      <c r="S8" s="1427">
        <f>[2]rapkvart!AG89</f>
        <v>648.9</v>
      </c>
      <c r="T8" s="1427">
        <f>[2]rapkvart!AH89</f>
        <v>665.5999999999998</v>
      </c>
      <c r="U8" s="1427">
        <f>[2]rapkvart!AA89</f>
        <v>674.3</v>
      </c>
      <c r="V8" s="1427">
        <f>[2]rapkvart!AB89</f>
        <v>722.1</v>
      </c>
      <c r="W8" s="1427">
        <f>[2]rapkvart!AC89</f>
        <v>696.89999999999986</v>
      </c>
      <c r="X8" s="1427">
        <f>[2]rapkvart!AD89</f>
        <v>715.3</v>
      </c>
      <c r="Y8" s="1427">
        <f>[2]rapkvart!W89</f>
        <v>714.80000000000007</v>
      </c>
      <c r="Z8" s="1427">
        <f>[2]rapkvart!X89</f>
        <v>737.30000000000007</v>
      </c>
      <c r="AA8" s="1427">
        <f>[2]rapkvart!Y89</f>
        <v>805.50000000000011</v>
      </c>
      <c r="AB8" s="1427" t="str">
        <f>[2]rapkvart!Z89</f>
        <v>diff mot BR</v>
      </c>
      <c r="AD8" s="700" t="str">
        <f>+[2]rapkvart!B89</f>
        <v>Totalt eget kapital vid periodens början</v>
      </c>
      <c r="AE8" s="700"/>
      <c r="AF8" s="1250">
        <f>Z8</f>
        <v>737.30000000000007</v>
      </c>
      <c r="AG8" s="1251">
        <f>V8</f>
        <v>722.1</v>
      </c>
      <c r="AH8" s="1250">
        <f>M8</f>
        <v>714.80000000000007</v>
      </c>
      <c r="AI8" s="1251">
        <f>I8</f>
        <v>674.3</v>
      </c>
      <c r="AJ8" s="1250">
        <f>W8</f>
        <v>696.89999999999986</v>
      </c>
      <c r="AK8" s="1251">
        <f>K8</f>
        <v>674.3</v>
      </c>
      <c r="AP8" s="700" t="str">
        <f>[2]rapkvart!$A$89</f>
        <v>Opening balance, total equity</v>
      </c>
      <c r="AQ8" s="700"/>
      <c r="AR8" s="1250">
        <f>AF8</f>
        <v>737.30000000000007</v>
      </c>
      <c r="AS8" s="1251">
        <f t="shared" ref="AS8:AW8" si="9">AG8</f>
        <v>722.1</v>
      </c>
      <c r="AT8" s="1250">
        <f t="shared" si="9"/>
        <v>714.80000000000007</v>
      </c>
      <c r="AU8" s="1251">
        <f t="shared" si="9"/>
        <v>674.3</v>
      </c>
      <c r="AV8" s="1250">
        <f t="shared" si="9"/>
        <v>696.89999999999986</v>
      </c>
      <c r="AW8" s="1251">
        <f t="shared" si="9"/>
        <v>674.3</v>
      </c>
    </row>
    <row r="9" spans="1:68" s="259" customFormat="1" ht="9.1999999999999993" customHeight="1" x14ac:dyDescent="0.15">
      <c r="B9" s="1441" t="str">
        <f>[2]rapkvart!B90</f>
        <v>Förändringar hänförliga till moderbolagets ägare:</v>
      </c>
      <c r="C9" s="1427"/>
      <c r="D9" s="1427">
        <f>[2]rapkvart!S90</f>
        <v>0</v>
      </c>
      <c r="E9" s="1427">
        <f>[2]rapkvart!T90</f>
        <v>0</v>
      </c>
      <c r="F9" s="1427">
        <f>[2]rapkvart!U90</f>
        <v>0</v>
      </c>
      <c r="G9" s="1427">
        <f>[2]rapkvart!V90</f>
        <v>0</v>
      </c>
      <c r="H9" s="1427">
        <f>[2]rapkvart!O90</f>
        <v>0</v>
      </c>
      <c r="I9" s="1427">
        <f>[2]rapkvart!P90</f>
        <v>0</v>
      </c>
      <c r="J9" s="1427">
        <f>[2]rapkvart!Q90</f>
        <v>0</v>
      </c>
      <c r="K9" s="1427">
        <f>[2]rapkvart!R90</f>
        <v>0</v>
      </c>
      <c r="L9" s="1427">
        <f>[2]rapkvart!K90</f>
        <v>0</v>
      </c>
      <c r="M9" s="1427">
        <f>[2]rapkvart!L90</f>
        <v>0</v>
      </c>
      <c r="N9" s="1427">
        <f>[2]rapkvart!M90</f>
        <v>0</v>
      </c>
      <c r="O9" s="1427">
        <f>[2]rapkvart!N90</f>
        <v>0</v>
      </c>
      <c r="Q9" s="1427">
        <f>[2]rapkvart!AE90</f>
        <v>0</v>
      </c>
      <c r="R9" s="1427">
        <f>[2]rapkvart!AF90</f>
        <v>0</v>
      </c>
      <c r="S9" s="1427">
        <f>[2]rapkvart!AG90</f>
        <v>0</v>
      </c>
      <c r="T9" s="1427">
        <f>[2]rapkvart!AH90</f>
        <v>0</v>
      </c>
      <c r="U9" s="1427">
        <f>[2]rapkvart!AA90</f>
        <v>0</v>
      </c>
      <c r="V9" s="1427">
        <f>[2]rapkvart!AB90</f>
        <v>0</v>
      </c>
      <c r="W9" s="1427">
        <f>[2]rapkvart!AC90</f>
        <v>0</v>
      </c>
      <c r="X9" s="1427">
        <f>[2]rapkvart!AD90</f>
        <v>0</v>
      </c>
      <c r="Y9" s="1427">
        <f>[2]rapkvart!W90</f>
        <v>0</v>
      </c>
      <c r="Z9" s="1427">
        <f>[2]rapkvart!X90</f>
        <v>0</v>
      </c>
      <c r="AA9" s="1427">
        <f>[2]rapkvart!Y90</f>
        <v>0</v>
      </c>
      <c r="AB9" s="1427">
        <f>[2]rapkvart!Z90</f>
        <v>0</v>
      </c>
      <c r="AD9" s="940" t="str">
        <f>+[2]rapkvart!B90</f>
        <v>Förändringar hänförliga till moderbolagets ägare:</v>
      </c>
      <c r="AE9" s="939"/>
      <c r="AF9" s="1250"/>
      <c r="AG9" s="1251"/>
      <c r="AH9" s="1250"/>
      <c r="AI9" s="1251"/>
      <c r="AJ9" s="1250"/>
      <c r="AK9" s="1251"/>
      <c r="AP9" s="940" t="str">
        <f>[2]rapkvart!$A$90</f>
        <v>Changes attributable to owners of the parent:</v>
      </c>
      <c r="AQ9" s="939"/>
      <c r="AR9" s="1250">
        <f t="shared" ref="AR9:AR17" si="10">AF9</f>
        <v>0</v>
      </c>
      <c r="AS9" s="1251">
        <f t="shared" ref="AS9:AS17" si="11">AG9</f>
        <v>0</v>
      </c>
      <c r="AT9" s="1250">
        <f t="shared" ref="AT9:AT17" si="12">AH9</f>
        <v>0</v>
      </c>
      <c r="AU9" s="1251">
        <f t="shared" ref="AU9:AU17" si="13">AI9</f>
        <v>0</v>
      </c>
      <c r="AV9" s="1250">
        <f t="shared" ref="AV9:AV17" si="14">AJ9</f>
        <v>0</v>
      </c>
      <c r="AW9" s="1251">
        <f t="shared" ref="AW9:AW17" si="15">AK9</f>
        <v>0</v>
      </c>
    </row>
    <row r="10" spans="1:68" s="259" customFormat="1" ht="9.1999999999999993" customHeight="1" x14ac:dyDescent="0.15">
      <c r="B10" s="1433" t="str">
        <f>[2]rapkvart!B91</f>
        <v>Periodens totalresultat</v>
      </c>
      <c r="C10" s="1427"/>
      <c r="D10" s="1427">
        <f>[2]rapkvart!S91</f>
        <v>24.200000000000042</v>
      </c>
      <c r="E10" s="1427">
        <f>[2]rapkvart!T91</f>
        <v>66.100000000000108</v>
      </c>
      <c r="F10" s="1427">
        <f>[2]rapkvart!U91</f>
        <v>87.599999999999895</v>
      </c>
      <c r="G10" s="1427">
        <f>[2]rapkvart!V91</f>
        <v>96.300000000000139</v>
      </c>
      <c r="H10" s="1427">
        <f>[2]rapkvart!O91</f>
        <v>51.400000000000063</v>
      </c>
      <c r="I10" s="1427">
        <f>[2]rapkvart!P91</f>
        <v>61.799999999999926</v>
      </c>
      <c r="J10" s="1427">
        <f>[2]rapkvart!Q91</f>
        <v>79.40000000000002</v>
      </c>
      <c r="K10" s="1427">
        <f>[2]rapkvart!R91</f>
        <v>78.100000000000122</v>
      </c>
      <c r="L10" s="1427">
        <f>[2]rapkvart!K91</f>
        <v>29.999999999999986</v>
      </c>
      <c r="M10" s="1427">
        <f>[2]rapkvart!L91</f>
        <v>96.700000000000045</v>
      </c>
      <c r="N10" s="1427">
        <f>[2]rapkvart!M91</f>
        <v>79.40000000000002</v>
      </c>
      <c r="O10" s="1427">
        <f>[2]rapkvart!N91</f>
        <v>78.100000000000122</v>
      </c>
      <c r="Q10" s="1427">
        <f>[2]rapkvart!AE91</f>
        <v>24.200000000000042</v>
      </c>
      <c r="R10" s="1427">
        <f>[2]rapkvart!AF91</f>
        <v>41.900000000000063</v>
      </c>
      <c r="S10" s="1427">
        <f>[2]rapkvart!AG91</f>
        <v>21.499999999999787</v>
      </c>
      <c r="T10" s="1427">
        <f>[2]rapkvart!AH91</f>
        <v>8.7000000000002444</v>
      </c>
      <c r="U10" s="1427">
        <f>[2]rapkvart!AA91</f>
        <v>51.400000000000063</v>
      </c>
      <c r="V10" s="1427">
        <f>[2]rapkvart!AB91</f>
        <v>10.399999999999864</v>
      </c>
      <c r="W10" s="1427">
        <f>[2]rapkvart!AC91</f>
        <v>17.600000000000094</v>
      </c>
      <c r="X10" s="1427">
        <f>[2]rapkvart!AD91</f>
        <v>-1.2999999999998977</v>
      </c>
      <c r="Y10" s="1427">
        <f>[2]rapkvart!W91</f>
        <v>29.999999999999986</v>
      </c>
      <c r="Z10" s="1427">
        <f>[2]rapkvart!X91</f>
        <v>66.70000000000006</v>
      </c>
      <c r="AA10" s="1427">
        <f>[2]rapkvart!Y91</f>
        <v>-17.300000000000026</v>
      </c>
      <c r="AB10" s="1427">
        <f>[2]rapkvart!Z91</f>
        <v>-1.2999999999998977</v>
      </c>
      <c r="AD10" s="472" t="str">
        <f>+[2]rapkvart!B91</f>
        <v>Periodens totalresultat</v>
      </c>
      <c r="AE10" s="472"/>
      <c r="AF10" s="1250">
        <f>Z10</f>
        <v>66.70000000000006</v>
      </c>
      <c r="AG10" s="1251">
        <f>V10</f>
        <v>10.399999999999864</v>
      </c>
      <c r="AH10" s="1250">
        <f t="shared" ref="AH10:AH17" si="16">M10</f>
        <v>96.700000000000045</v>
      </c>
      <c r="AI10" s="1251">
        <f t="shared" ref="AI10:AI17" si="17">I10</f>
        <v>61.799999999999926</v>
      </c>
      <c r="AJ10" s="1250">
        <f>SUM(W10:Z10)</f>
        <v>113.00000000000024</v>
      </c>
      <c r="AK10" s="1251">
        <f>K10</f>
        <v>78.100000000000122</v>
      </c>
      <c r="AP10" s="472" t="str">
        <f>+[2]rapkvart!$A$91</f>
        <v>Comprehensive income for the period</v>
      </c>
      <c r="AQ10" s="472"/>
      <c r="AR10" s="1250">
        <f t="shared" si="10"/>
        <v>66.70000000000006</v>
      </c>
      <c r="AS10" s="1251">
        <f t="shared" si="11"/>
        <v>10.399999999999864</v>
      </c>
      <c r="AT10" s="1250">
        <f t="shared" si="12"/>
        <v>96.700000000000045</v>
      </c>
      <c r="AU10" s="1251">
        <f t="shared" si="13"/>
        <v>61.799999999999926</v>
      </c>
      <c r="AV10" s="1250">
        <f t="shared" si="14"/>
        <v>113.00000000000024</v>
      </c>
      <c r="AW10" s="1251">
        <f t="shared" si="15"/>
        <v>78.100000000000122</v>
      </c>
    </row>
    <row r="11" spans="1:68" s="259" customFormat="1" ht="9.1999999999999993" hidden="1" customHeight="1" outlineLevel="1" x14ac:dyDescent="0.15">
      <c r="A11" s="983" t="s">
        <v>722</v>
      </c>
      <c r="B11" s="1433" t="str">
        <f>[2]rapkvart!B92</f>
        <v>Förändrad skattesats</v>
      </c>
      <c r="C11" s="1427"/>
      <c r="D11" s="1427">
        <f>[2]rapkvart!S92</f>
        <v>0</v>
      </c>
      <c r="E11" s="1427">
        <f>[2]rapkvart!T92</f>
        <v>0</v>
      </c>
      <c r="F11" s="1427">
        <f>[2]rapkvart!U92</f>
        <v>0</v>
      </c>
      <c r="G11" s="1427">
        <f>[2]rapkvart!V92</f>
        <v>0</v>
      </c>
      <c r="H11" s="1427">
        <f>[2]rapkvart!O92</f>
        <v>0</v>
      </c>
      <c r="I11" s="1427">
        <f>[2]rapkvart!P92</f>
        <v>0</v>
      </c>
      <c r="J11" s="1427">
        <f>[2]rapkvart!Q92</f>
        <v>0</v>
      </c>
      <c r="K11" s="1427">
        <f>[2]rapkvart!R92</f>
        <v>0</v>
      </c>
      <c r="L11" s="1427">
        <f>[2]rapkvart!K92</f>
        <v>0</v>
      </c>
      <c r="M11" s="1427">
        <f>[2]rapkvart!L92</f>
        <v>0</v>
      </c>
      <c r="N11" s="1427">
        <f>[2]rapkvart!M92</f>
        <v>0</v>
      </c>
      <c r="O11" s="1427">
        <f>[2]rapkvart!N92</f>
        <v>0</v>
      </c>
      <c r="Q11" s="1427">
        <f>[2]rapkvart!AE92</f>
        <v>0</v>
      </c>
      <c r="R11" s="1427">
        <f>[2]rapkvart!AF92</f>
        <v>0</v>
      </c>
      <c r="S11" s="1427">
        <f>[2]rapkvart!AG92</f>
        <v>0</v>
      </c>
      <c r="T11" s="1427">
        <f>[2]rapkvart!AH92</f>
        <v>0</v>
      </c>
      <c r="U11" s="1427">
        <f>[2]rapkvart!AA92</f>
        <v>0</v>
      </c>
      <c r="V11" s="1427">
        <f>[2]rapkvart!AB92</f>
        <v>0</v>
      </c>
      <c r="W11" s="1427">
        <f>[2]rapkvart!AC92</f>
        <v>0</v>
      </c>
      <c r="X11" s="1427">
        <f>[2]rapkvart!AD92</f>
        <v>0</v>
      </c>
      <c r="Y11" s="1427">
        <f>[2]rapkvart!W92</f>
        <v>0</v>
      </c>
      <c r="Z11" s="1427">
        <f>[2]rapkvart!X92</f>
        <v>0</v>
      </c>
      <c r="AA11" s="1427">
        <f>[2]rapkvart!Y92</f>
        <v>0</v>
      </c>
      <c r="AB11" s="1427">
        <f>[2]rapkvart!Z92</f>
        <v>0</v>
      </c>
      <c r="AD11" s="792" t="str">
        <f>+[2]rapkvart!B92</f>
        <v>Förändrad skattesats</v>
      </c>
      <c r="AE11" s="472"/>
      <c r="AF11" s="1250">
        <f>Z11</f>
        <v>0</v>
      </c>
      <c r="AG11" s="1251">
        <f>V11</f>
        <v>0</v>
      </c>
      <c r="AH11" s="1250">
        <f t="shared" si="16"/>
        <v>0</v>
      </c>
      <c r="AI11" s="1251">
        <f t="shared" si="17"/>
        <v>0</v>
      </c>
      <c r="AJ11" s="1250">
        <f t="shared" ref="AJ11:AJ16" si="18">SUM(W11:Z11)</f>
        <v>0</v>
      </c>
      <c r="AK11" s="1251">
        <f t="shared" ref="AK11:AK17" si="19">K11</f>
        <v>0</v>
      </c>
      <c r="AP11" s="792" t="s">
        <v>526</v>
      </c>
      <c r="AQ11" s="472"/>
      <c r="AR11" s="1250">
        <f t="shared" si="10"/>
        <v>0</v>
      </c>
      <c r="AS11" s="1251">
        <f t="shared" si="11"/>
        <v>0</v>
      </c>
      <c r="AT11" s="1250">
        <f t="shared" si="12"/>
        <v>0</v>
      </c>
      <c r="AU11" s="1251">
        <f t="shared" si="13"/>
        <v>0</v>
      </c>
      <c r="AV11" s="1250">
        <f t="shared" si="14"/>
        <v>0</v>
      </c>
      <c r="AW11" s="1251">
        <f t="shared" si="15"/>
        <v>0</v>
      </c>
    </row>
    <row r="12" spans="1:68" s="259" customFormat="1" ht="9.1999999999999993" customHeight="1" collapsed="1" x14ac:dyDescent="0.15">
      <c r="B12" s="1441" t="str">
        <f>[2]rapkvart!B93</f>
        <v>Förändringar hänförliga till innehav utan bestämmande inflytande:</v>
      </c>
      <c r="C12" s="1427"/>
      <c r="D12" s="1427">
        <f>[2]rapkvart!S93</f>
        <v>0</v>
      </c>
      <c r="E12" s="1427">
        <f>[2]rapkvart!T93</f>
        <v>0</v>
      </c>
      <c r="F12" s="1427">
        <f>[2]rapkvart!U93</f>
        <v>0</v>
      </c>
      <c r="G12" s="1427">
        <f>[2]rapkvart!V93</f>
        <v>0</v>
      </c>
      <c r="H12" s="1427">
        <f>[2]rapkvart!O93</f>
        <v>0</v>
      </c>
      <c r="I12" s="1427">
        <f>[2]rapkvart!P93</f>
        <v>0</v>
      </c>
      <c r="J12" s="1427">
        <f>[2]rapkvart!Q93</f>
        <v>0</v>
      </c>
      <c r="K12" s="1427">
        <f>[2]rapkvart!R93</f>
        <v>0</v>
      </c>
      <c r="L12" s="1427">
        <f>[2]rapkvart!K93</f>
        <v>0</v>
      </c>
      <c r="M12" s="1427">
        <f>[2]rapkvart!L93</f>
        <v>0</v>
      </c>
      <c r="N12" s="1427">
        <f>[2]rapkvart!M93</f>
        <v>0</v>
      </c>
      <c r="O12" s="1427">
        <f>[2]rapkvart!N93</f>
        <v>0</v>
      </c>
      <c r="Q12" s="1427">
        <f>[2]rapkvart!AE93</f>
        <v>0</v>
      </c>
      <c r="R12" s="1427">
        <f>[2]rapkvart!AF93</f>
        <v>0</v>
      </c>
      <c r="S12" s="1427">
        <f>[2]rapkvart!AG93</f>
        <v>0</v>
      </c>
      <c r="T12" s="1427">
        <f>[2]rapkvart!AH93</f>
        <v>0</v>
      </c>
      <c r="U12" s="1427">
        <f>[2]rapkvart!AA93</f>
        <v>0</v>
      </c>
      <c r="V12" s="1427">
        <f>[2]rapkvart!AB93</f>
        <v>0</v>
      </c>
      <c r="W12" s="1427">
        <f>[2]rapkvart!AC93</f>
        <v>0</v>
      </c>
      <c r="X12" s="1427">
        <f>[2]rapkvart!AD93</f>
        <v>0</v>
      </c>
      <c r="Y12" s="1427">
        <f>[2]rapkvart!W93</f>
        <v>0</v>
      </c>
      <c r="Z12" s="1427">
        <f>[2]rapkvart!X93</f>
        <v>0</v>
      </c>
      <c r="AA12" s="1427">
        <f>[2]rapkvart!Y93</f>
        <v>0</v>
      </c>
      <c r="AB12" s="1427">
        <f>[2]rapkvart!Z93</f>
        <v>0</v>
      </c>
      <c r="AD12" s="939" t="str">
        <f>+[2]rapkvart!B93</f>
        <v>Förändringar hänförliga till innehav utan bestämmande inflytande:</v>
      </c>
      <c r="AE12" s="939"/>
      <c r="AF12" s="1250"/>
      <c r="AG12" s="1251"/>
      <c r="AH12" s="1250"/>
      <c r="AI12" s="1251"/>
      <c r="AJ12" s="1250"/>
      <c r="AK12" s="1251"/>
      <c r="AP12" s="940" t="str">
        <f>+[2]rapkvart!$A$93</f>
        <v>Changes attributable to non-controlling interests:</v>
      </c>
      <c r="AQ12" s="939"/>
      <c r="AR12" s="1250"/>
      <c r="AS12" s="1251"/>
      <c r="AT12" s="1250"/>
      <c r="AU12" s="1251"/>
      <c r="AV12" s="1250"/>
      <c r="AW12" s="1251"/>
    </row>
    <row r="13" spans="1:68" s="259" customFormat="1" ht="9.1999999999999993" customHeight="1" x14ac:dyDescent="0.15">
      <c r="B13" s="1433" t="str">
        <f>[2]rapkvart!B94</f>
        <v>Periodens totalresultat</v>
      </c>
      <c r="C13" s="1427"/>
      <c r="D13" s="1427">
        <f>[2]rapkvart!S94</f>
        <v>2.1</v>
      </c>
      <c r="E13" s="1427">
        <f>[2]rapkvart!T94</f>
        <v>4.3</v>
      </c>
      <c r="F13" s="1427">
        <f>[2]rapkvart!U94</f>
        <v>6.4</v>
      </c>
      <c r="G13" s="1427">
        <f>[2]rapkvart!V94</f>
        <v>6.4</v>
      </c>
      <c r="H13" s="1427">
        <f>[2]rapkvart!O94</f>
        <v>1.6</v>
      </c>
      <c r="I13" s="1427">
        <f>[2]rapkvart!P94</f>
        <v>3</v>
      </c>
      <c r="J13" s="1427">
        <f>[2]rapkvart!Q94</f>
        <v>3.8</v>
      </c>
      <c r="K13" s="1427">
        <f>[2]rapkvart!R94</f>
        <v>4.5999999999999996</v>
      </c>
      <c r="L13" s="1427">
        <f>[2]rapkvart!K94</f>
        <v>1.1000000000000001</v>
      </c>
      <c r="M13" s="1427">
        <f>[2]rapkvart!L94</f>
        <v>2.6</v>
      </c>
      <c r="N13" s="1427">
        <f>[2]rapkvart!M94</f>
        <v>3.8</v>
      </c>
      <c r="O13" s="1427">
        <f>[2]rapkvart!N94</f>
        <v>4.5999999999999996</v>
      </c>
      <c r="Q13" s="1427">
        <f>[2]rapkvart!AE94</f>
        <v>2.1</v>
      </c>
      <c r="R13" s="1427">
        <f>[2]rapkvart!AF94</f>
        <v>2.1999999999999997</v>
      </c>
      <c r="S13" s="1427">
        <f>[2]rapkvart!AG94</f>
        <v>2.1000000000000005</v>
      </c>
      <c r="T13" s="1427">
        <f>[2]rapkvart!AH94</f>
        <v>0</v>
      </c>
      <c r="U13" s="1427">
        <f>[2]rapkvart!AA94</f>
        <v>1.6</v>
      </c>
      <c r="V13" s="1427">
        <f>[2]rapkvart!AB94</f>
        <v>1.4</v>
      </c>
      <c r="W13" s="1427">
        <f>[2]rapkvart!AC94</f>
        <v>0.79999999999999982</v>
      </c>
      <c r="X13" s="1427">
        <f>[2]rapkvart!AD94</f>
        <v>0.79999999999999982</v>
      </c>
      <c r="Y13" s="1427">
        <f>[2]rapkvart!W94</f>
        <v>1.1000000000000001</v>
      </c>
      <c r="Z13" s="1427">
        <f>[2]rapkvart!X94</f>
        <v>1.5</v>
      </c>
      <c r="AA13" s="1427">
        <f>[2]rapkvart!Y94</f>
        <v>1.1999999999999997</v>
      </c>
      <c r="AB13" s="1427">
        <f>[2]rapkvart!Z94</f>
        <v>0.79999999999999982</v>
      </c>
      <c r="AD13" s="472" t="str">
        <f>+[2]rapkvart!B94</f>
        <v>Periodens totalresultat</v>
      </c>
      <c r="AE13" s="939"/>
      <c r="AF13" s="1250">
        <f>Z13</f>
        <v>1.5</v>
      </c>
      <c r="AG13" s="1251">
        <f>V13</f>
        <v>1.4</v>
      </c>
      <c r="AH13" s="1250">
        <f t="shared" si="16"/>
        <v>2.6</v>
      </c>
      <c r="AI13" s="1251">
        <f t="shared" si="17"/>
        <v>3</v>
      </c>
      <c r="AJ13" s="1250">
        <f t="shared" si="18"/>
        <v>4.1999999999999993</v>
      </c>
      <c r="AK13" s="1251">
        <f t="shared" si="19"/>
        <v>4.5999999999999996</v>
      </c>
      <c r="AP13" s="472" t="str">
        <f>+[2]rapkvart!$A$94</f>
        <v>Comprehensive income for the period</v>
      </c>
      <c r="AQ13" s="939"/>
      <c r="AR13" s="1250">
        <f t="shared" si="10"/>
        <v>1.5</v>
      </c>
      <c r="AS13" s="1251">
        <f t="shared" si="11"/>
        <v>1.4</v>
      </c>
      <c r="AT13" s="1250">
        <f t="shared" si="12"/>
        <v>2.6</v>
      </c>
      <c r="AU13" s="1251">
        <f t="shared" si="13"/>
        <v>3</v>
      </c>
      <c r="AV13" s="1250">
        <f t="shared" si="14"/>
        <v>4.1999999999999993</v>
      </c>
      <c r="AW13" s="1251">
        <f t="shared" si="15"/>
        <v>4.5999999999999996</v>
      </c>
    </row>
    <row r="14" spans="1:68" s="259" customFormat="1" ht="9.1999999999999993" customHeight="1" x14ac:dyDescent="0.15">
      <c r="B14" s="1441" t="str">
        <f>[2]rapkvart!B95</f>
        <v>Transaktioner med aktieägare</v>
      </c>
      <c r="C14" s="1427"/>
      <c r="D14" s="1427">
        <f>[2]rapkvart!S95</f>
        <v>0</v>
      </c>
      <c r="E14" s="1427">
        <f>[2]rapkvart!T95</f>
        <v>0</v>
      </c>
      <c r="F14" s="1427">
        <f>[2]rapkvart!U95</f>
        <v>0</v>
      </c>
      <c r="G14" s="1427">
        <f>[2]rapkvart!V95</f>
        <v>0</v>
      </c>
      <c r="H14" s="1427">
        <f>[2]rapkvart!O95</f>
        <v>0</v>
      </c>
      <c r="I14" s="1427">
        <f>[2]rapkvart!P95</f>
        <v>0</v>
      </c>
      <c r="J14" s="1427">
        <f>[2]rapkvart!Q95</f>
        <v>0</v>
      </c>
      <c r="K14" s="1427">
        <f>[2]rapkvart!R95</f>
        <v>0</v>
      </c>
      <c r="L14" s="1427">
        <f>[2]rapkvart!K95</f>
        <v>0</v>
      </c>
      <c r="M14" s="1427">
        <f>[2]rapkvart!L95</f>
        <v>0</v>
      </c>
      <c r="N14" s="1427">
        <f>[2]rapkvart!M95</f>
        <v>0</v>
      </c>
      <c r="O14" s="1427">
        <f>[2]rapkvart!N95</f>
        <v>0</v>
      </c>
      <c r="Q14" s="1427">
        <f>[2]rapkvart!AE95</f>
        <v>0</v>
      </c>
      <c r="R14" s="1427">
        <f>[2]rapkvart!AF95</f>
        <v>0</v>
      </c>
      <c r="S14" s="1427">
        <f>[2]rapkvart!AG95</f>
        <v>0</v>
      </c>
      <c r="T14" s="1427">
        <f>[2]rapkvart!AH95</f>
        <v>0</v>
      </c>
      <c r="U14" s="1427">
        <f>[2]rapkvart!AA95</f>
        <v>0</v>
      </c>
      <c r="V14" s="1427">
        <f>[2]rapkvart!AB95</f>
        <v>0</v>
      </c>
      <c r="W14" s="1427">
        <f>[2]rapkvart!AC95</f>
        <v>0</v>
      </c>
      <c r="X14" s="1427">
        <f>[2]rapkvart!AD95</f>
        <v>0</v>
      </c>
      <c r="Y14" s="1427">
        <f>[2]rapkvart!W95</f>
        <v>0</v>
      </c>
      <c r="Z14" s="1427">
        <f>[2]rapkvart!X95</f>
        <v>0</v>
      </c>
      <c r="AA14" s="1427">
        <f>[2]rapkvart!Y95</f>
        <v>0</v>
      </c>
      <c r="AB14" s="1427">
        <f>[2]rapkvart!Z95</f>
        <v>0</v>
      </c>
      <c r="AD14" s="940" t="str">
        <f>+[2]rapkvart!B95</f>
        <v>Transaktioner med aktieägare</v>
      </c>
      <c r="AE14" s="939"/>
      <c r="AF14" s="1250"/>
      <c r="AG14" s="1251"/>
      <c r="AH14" s="1250"/>
      <c r="AI14" s="1251"/>
      <c r="AJ14" s="1250"/>
      <c r="AK14" s="1251"/>
      <c r="AP14" s="940" t="str">
        <f>+[2]rapkvart!A95</f>
        <v>Transactions with shareholders</v>
      </c>
      <c r="AQ14" s="939"/>
      <c r="AR14" s="1250"/>
      <c r="AS14" s="1251"/>
      <c r="AT14" s="1250"/>
      <c r="AU14" s="1251"/>
      <c r="AV14" s="1250"/>
      <c r="AW14" s="1251"/>
    </row>
    <row r="15" spans="1:68" s="259" customFormat="1" ht="9.1999999999999993" customHeight="1" x14ac:dyDescent="0.15">
      <c r="B15" s="1441" t="str">
        <f>[2]rapkvart!B96</f>
        <v>Nyemission/Aktieägartillskott</v>
      </c>
      <c r="C15" s="1427"/>
      <c r="D15" s="1427">
        <f>[2]rapkvart!S96</f>
        <v>0</v>
      </c>
      <c r="E15" s="1427">
        <f>[2]rapkvart!T96</f>
        <v>0</v>
      </c>
      <c r="F15" s="1427">
        <f>[2]rapkvart!U96</f>
        <v>0</v>
      </c>
      <c r="G15" s="1427">
        <f>[2]rapkvart!V96</f>
        <v>0</v>
      </c>
      <c r="H15" s="1427">
        <f>[2]rapkvart!O96</f>
        <v>0</v>
      </c>
      <c r="I15" s="1427">
        <f>[2]rapkvart!P96</f>
        <v>0</v>
      </c>
      <c r="J15" s="1427">
        <f>[2]rapkvart!Q96</f>
        <v>0</v>
      </c>
      <c r="K15" s="1427">
        <f>[2]rapkvart!R96</f>
        <v>0</v>
      </c>
      <c r="L15" s="1427">
        <f>[2]rapkvart!K96</f>
        <v>0</v>
      </c>
      <c r="M15" s="1427">
        <f>[2]rapkvart!L96</f>
        <v>0</v>
      </c>
      <c r="N15" s="1427">
        <f>[2]rapkvart!M96</f>
        <v>0</v>
      </c>
      <c r="O15" s="1427">
        <f>[2]rapkvart!N96</f>
        <v>0</v>
      </c>
      <c r="Q15" s="1427">
        <f>[2]rapkvart!AE96</f>
        <v>0</v>
      </c>
      <c r="R15" s="1427">
        <f>[2]rapkvart!AF96</f>
        <v>0</v>
      </c>
      <c r="S15" s="1427">
        <f>[2]rapkvart!AG96</f>
        <v>0</v>
      </c>
      <c r="T15" s="1427">
        <f>[2]rapkvart!AH96</f>
        <v>0</v>
      </c>
      <c r="U15" s="1427">
        <f>[2]rapkvart!AA96</f>
        <v>0</v>
      </c>
      <c r="V15" s="1427">
        <f>[2]rapkvart!AB96</f>
        <v>0</v>
      </c>
      <c r="W15" s="1427">
        <f>[2]rapkvart!AC96</f>
        <v>0</v>
      </c>
      <c r="X15" s="1427">
        <f>[2]rapkvart!AD96</f>
        <v>0</v>
      </c>
      <c r="Y15" s="1427">
        <f>[2]rapkvart!W96</f>
        <v>0</v>
      </c>
      <c r="Z15" s="1427">
        <f>[2]rapkvart!X96</f>
        <v>0</v>
      </c>
      <c r="AA15" s="1427">
        <f>[2]rapkvart!Y96</f>
        <v>0</v>
      </c>
      <c r="AB15" s="1427">
        <f>[2]rapkvart!Z96</f>
        <v>0</v>
      </c>
      <c r="AD15" s="1593" t="str">
        <f>+[2]rapkvart!B96</f>
        <v>Nyemission/Aktieägartillskott</v>
      </c>
      <c r="AE15" s="939"/>
      <c r="AF15" s="1250">
        <f>Z15</f>
        <v>0</v>
      </c>
      <c r="AG15" s="1251">
        <f>V15</f>
        <v>0</v>
      </c>
      <c r="AH15" s="1250">
        <f t="shared" si="16"/>
        <v>0</v>
      </c>
      <c r="AI15" s="1251">
        <f t="shared" si="17"/>
        <v>0</v>
      </c>
      <c r="AJ15" s="1250">
        <f t="shared" si="18"/>
        <v>0</v>
      </c>
      <c r="AK15" s="1251">
        <f t="shared" si="19"/>
        <v>0</v>
      </c>
      <c r="AP15" s="472" t="s">
        <v>815</v>
      </c>
      <c r="AQ15" s="939"/>
      <c r="AR15" s="1250">
        <f t="shared" si="10"/>
        <v>0</v>
      </c>
      <c r="AS15" s="1251">
        <f t="shared" si="11"/>
        <v>0</v>
      </c>
      <c r="AT15" s="1250">
        <f t="shared" si="12"/>
        <v>0</v>
      </c>
      <c r="AU15" s="1251">
        <f t="shared" si="13"/>
        <v>0</v>
      </c>
      <c r="AV15" s="1250">
        <f t="shared" si="14"/>
        <v>0</v>
      </c>
      <c r="AW15" s="1251">
        <f t="shared" si="15"/>
        <v>0</v>
      </c>
    </row>
    <row r="16" spans="1:68" s="259" customFormat="1" ht="9.1999999999999993" customHeight="1" thickBot="1" x14ac:dyDescent="0.2">
      <c r="B16" s="1442" t="str">
        <f>[2]rapkvart!B97</f>
        <v>Utdelning</v>
      </c>
      <c r="C16" s="1443"/>
      <c r="D16" s="1443">
        <f>[2]rapkvart!S97</f>
        <v>0</v>
      </c>
      <c r="E16" s="1443">
        <f>[2]rapkvart!T97</f>
        <v>-37</v>
      </c>
      <c r="F16" s="1443">
        <f>[2]rapkvart!U97</f>
        <v>-43.9</v>
      </c>
      <c r="G16" s="1443">
        <f>[2]rapkvart!V97</f>
        <v>-43.9</v>
      </c>
      <c r="H16" s="1443">
        <f>[2]rapkvart!O97</f>
        <v>-5.2</v>
      </c>
      <c r="I16" s="1443">
        <f>[2]rapkvart!P97</f>
        <v>-42.2</v>
      </c>
      <c r="J16" s="1443">
        <f>[2]rapkvart!Q97</f>
        <v>-42.2</v>
      </c>
      <c r="K16" s="1443">
        <f>[2]rapkvart!R97</f>
        <v>-42.2</v>
      </c>
      <c r="L16" s="1443">
        <f>[2]rapkvart!K97</f>
        <v>-8.6</v>
      </c>
      <c r="M16" s="1443">
        <f>[2]rapkvart!L97</f>
        <v>-8.6</v>
      </c>
      <c r="N16" s="1443">
        <f>[2]rapkvart!M97</f>
        <v>-42.2</v>
      </c>
      <c r="O16" s="1443">
        <f>[2]rapkvart!N97</f>
        <v>-42.2</v>
      </c>
      <c r="Q16" s="1443">
        <f>[2]rapkvart!AE97</f>
        <v>0</v>
      </c>
      <c r="R16" s="1443">
        <f>[2]rapkvart!AF97</f>
        <v>-37</v>
      </c>
      <c r="S16" s="1443">
        <f>[2]rapkvart!AG97</f>
        <v>-6.8999999999999986</v>
      </c>
      <c r="T16" s="1443">
        <f>[2]rapkvart!AH97</f>
        <v>0</v>
      </c>
      <c r="U16" s="1443">
        <f>[2]rapkvart!AA97</f>
        <v>-5.2</v>
      </c>
      <c r="V16" s="1443">
        <f>[2]rapkvart!AB97</f>
        <v>-37</v>
      </c>
      <c r="W16" s="1443">
        <f>[2]rapkvart!AC97</f>
        <v>0</v>
      </c>
      <c r="X16" s="1443">
        <f>[2]rapkvart!AD97</f>
        <v>0</v>
      </c>
      <c r="Y16" s="1443">
        <f>[2]rapkvart!W97</f>
        <v>-8.6</v>
      </c>
      <c r="Z16" s="1443">
        <f>[2]rapkvart!X97</f>
        <v>0</v>
      </c>
      <c r="AA16" s="1443">
        <f>[2]rapkvart!Y97</f>
        <v>-33.6</v>
      </c>
      <c r="AB16" s="1443">
        <f>[2]rapkvart!Z97</f>
        <v>0</v>
      </c>
      <c r="AD16" s="785" t="str">
        <f>+[2]rapkvart!B97</f>
        <v>Utdelning</v>
      </c>
      <c r="AE16" s="1937"/>
      <c r="AF16" s="1727">
        <f>Z16</f>
        <v>0</v>
      </c>
      <c r="AG16" s="1260">
        <f>V16</f>
        <v>-37</v>
      </c>
      <c r="AH16" s="1727">
        <f t="shared" si="16"/>
        <v>-8.6</v>
      </c>
      <c r="AI16" s="1260">
        <f t="shared" si="17"/>
        <v>-42.2</v>
      </c>
      <c r="AJ16" s="1727">
        <f t="shared" si="18"/>
        <v>-8.6</v>
      </c>
      <c r="AK16" s="1260">
        <f t="shared" si="19"/>
        <v>-42.2</v>
      </c>
      <c r="AP16" s="785" t="str">
        <f>+[2]rapkvart!$A$97</f>
        <v>Dividend</v>
      </c>
      <c r="AQ16" s="1937"/>
      <c r="AR16" s="2264">
        <f t="shared" si="10"/>
        <v>0</v>
      </c>
      <c r="AS16" s="2245">
        <f t="shared" si="11"/>
        <v>-37</v>
      </c>
      <c r="AT16" s="2264">
        <f t="shared" si="12"/>
        <v>-8.6</v>
      </c>
      <c r="AU16" s="2245">
        <f t="shared" si="13"/>
        <v>-42.2</v>
      </c>
      <c r="AV16" s="2264">
        <f t="shared" si="14"/>
        <v>-8.6</v>
      </c>
      <c r="AW16" s="2245">
        <f t="shared" si="15"/>
        <v>-42.2</v>
      </c>
    </row>
    <row r="17" spans="2:49" ht="9.75" customHeight="1" x14ac:dyDescent="0.25">
      <c r="B17" s="1444" t="str">
        <f>[2]rapkvart!B98</f>
        <v>Totalt eget kapital vid periodens slut</v>
      </c>
      <c r="C17" s="1429"/>
      <c r="D17" s="1429">
        <f>[2]rapkvart!S98</f>
        <v>641.79999999999984</v>
      </c>
      <c r="E17" s="1429">
        <f>[2]rapkvart!T98</f>
        <v>648.89999999999986</v>
      </c>
      <c r="F17" s="1429">
        <f>[2]rapkvart!U98</f>
        <v>665.59999999999968</v>
      </c>
      <c r="G17" s="1429">
        <f>[2]rapkvart!V98</f>
        <v>674.3</v>
      </c>
      <c r="H17" s="1429">
        <f>[2]rapkvart!O98</f>
        <v>722.1</v>
      </c>
      <c r="I17" s="1429">
        <f>[2]rapkvart!P98</f>
        <v>696.89999999999986</v>
      </c>
      <c r="J17" s="1429">
        <f>[2]rapkvart!Q98</f>
        <v>715.29999999999984</v>
      </c>
      <c r="K17" s="1429">
        <f>[2]rapkvart!R98</f>
        <v>714.80000000000007</v>
      </c>
      <c r="L17" s="1429">
        <f>[2]rapkvart!K98</f>
        <v>737.30000000000007</v>
      </c>
      <c r="M17" s="1429">
        <f>[2]rapkvart!L98</f>
        <v>805.50000000000011</v>
      </c>
      <c r="N17" s="1429" t="str">
        <f>[2]rapkvart!M98</f>
        <v>diff mot BR</v>
      </c>
      <c r="O17" s="1429" t="str">
        <f>[2]rapkvart!N98</f>
        <v>diff mot BR</v>
      </c>
      <c r="Q17" s="1429">
        <f>[2]rapkvart!AE98</f>
        <v>641.79999999999984</v>
      </c>
      <c r="R17" s="1429">
        <f>[2]rapkvart!AF98</f>
        <v>648.9</v>
      </c>
      <c r="S17" s="1429">
        <f>[2]rapkvart!AG98</f>
        <v>665.5999999999998</v>
      </c>
      <c r="T17" s="1429">
        <f>[2]rapkvart!AH98</f>
        <v>674.30000000000007</v>
      </c>
      <c r="U17" s="1429">
        <f>[2]rapkvart!AA98</f>
        <v>722.1</v>
      </c>
      <c r="V17" s="1429">
        <f>[2]rapkvart!AB98</f>
        <v>696.89999999999986</v>
      </c>
      <c r="W17" s="1429">
        <f>[2]rapkvart!AC98</f>
        <v>715.3</v>
      </c>
      <c r="X17" s="1429">
        <f>[2]rapkvart!AD98</f>
        <v>714.8</v>
      </c>
      <c r="Y17" s="1429">
        <f>[2]rapkvart!W98</f>
        <v>737.30000000000007</v>
      </c>
      <c r="Z17" s="1429">
        <f>[2]rapkvart!X98</f>
        <v>805.50000000000011</v>
      </c>
      <c r="AA17" s="1429" t="str">
        <f>[2]rapkvart!Y98</f>
        <v>diff mot BR</v>
      </c>
      <c r="AB17" s="1429" t="str">
        <f>[2]rapkvart!Z98</f>
        <v>diff mot BR</v>
      </c>
      <c r="AD17" s="768" t="str">
        <f>+[2]rapkvart!B98</f>
        <v>Totalt eget kapital vid periodens slut</v>
      </c>
      <c r="AE17" s="257"/>
      <c r="AF17" s="1936">
        <f>Z17</f>
        <v>805.50000000000011</v>
      </c>
      <c r="AG17" s="1752">
        <f>V17</f>
        <v>696.89999999999986</v>
      </c>
      <c r="AH17" s="1936">
        <f t="shared" si="16"/>
        <v>805.50000000000011</v>
      </c>
      <c r="AI17" s="1752">
        <f t="shared" si="17"/>
        <v>696.89999999999986</v>
      </c>
      <c r="AJ17" s="1936">
        <f>SUM(AJ8:AJ16)</f>
        <v>805.50000000000011</v>
      </c>
      <c r="AK17" s="1752">
        <f t="shared" si="19"/>
        <v>714.80000000000007</v>
      </c>
      <c r="AP17" s="768" t="str">
        <f>+[2]rapkvart!$A$98</f>
        <v>Closing balance, total equity</v>
      </c>
      <c r="AQ17" s="257"/>
      <c r="AR17" s="2265">
        <f t="shared" si="10"/>
        <v>805.50000000000011</v>
      </c>
      <c r="AS17" s="2253">
        <f t="shared" si="11"/>
        <v>696.89999999999986</v>
      </c>
      <c r="AT17" s="2265">
        <f t="shared" si="12"/>
        <v>805.50000000000011</v>
      </c>
      <c r="AU17" s="2253">
        <f t="shared" si="13"/>
        <v>696.89999999999986</v>
      </c>
      <c r="AV17" s="2265">
        <f t="shared" si="14"/>
        <v>805.50000000000011</v>
      </c>
      <c r="AW17" s="2253">
        <f t="shared" si="15"/>
        <v>714.80000000000007</v>
      </c>
    </row>
    <row r="18" spans="2:49" ht="9" customHeight="1" x14ac:dyDescent="0.25"/>
    <row r="19" spans="2:49" ht="9.9499999999999993" customHeight="1" x14ac:dyDescent="0.25">
      <c r="AD19" s="1441" t="s">
        <v>719</v>
      </c>
      <c r="AE19" s="1441"/>
      <c r="AF19" s="1473"/>
      <c r="AG19" s="1473"/>
      <c r="AH19" s="1473"/>
      <c r="AI19" s="1473"/>
      <c r="AJ19" s="1427">
        <f>AJ17</f>
        <v>805.50000000000011</v>
      </c>
      <c r="AK19" s="1473"/>
    </row>
    <row r="20" spans="2:49" ht="9.9499999999999993" customHeight="1" x14ac:dyDescent="0.25">
      <c r="AD20" s="1441" t="s">
        <v>720</v>
      </c>
      <c r="AE20" s="1441"/>
      <c r="AF20" s="1473"/>
      <c r="AG20" s="1473"/>
      <c r="AH20" s="1473"/>
      <c r="AI20" s="1473"/>
      <c r="AJ20" s="1427">
        <f>Z17</f>
        <v>805.50000000000011</v>
      </c>
      <c r="AK20" s="1473"/>
    </row>
    <row r="21" spans="2:49" ht="9.9499999999999993" customHeight="1" x14ac:dyDescent="0.25">
      <c r="AD21" s="1441" t="s">
        <v>721</v>
      </c>
      <c r="AE21" s="1441"/>
      <c r="AF21" s="1473"/>
      <c r="AG21" s="1473"/>
      <c r="AH21" s="1473"/>
      <c r="AI21" s="1473"/>
      <c r="AJ21" s="1427">
        <f>'Koncern BR'!W32</f>
        <v>805.5</v>
      </c>
      <c r="AK21" s="1473"/>
    </row>
    <row r="22" spans="2:49" ht="9.9499999999999993" customHeight="1" x14ac:dyDescent="0.25"/>
    <row r="23" spans="2:49" ht="9.9499999999999993" customHeight="1" x14ac:dyDescent="0.25">
      <c r="AD23" s="983" t="s">
        <v>181</v>
      </c>
      <c r="AE23" s="983"/>
      <c r="AF23" s="983"/>
      <c r="AG23" s="983"/>
      <c r="AH23" s="983"/>
      <c r="AI23" s="983"/>
      <c r="AJ23" s="983">
        <f>AJ19-AJ20</f>
        <v>0</v>
      </c>
      <c r="AK23" s="983"/>
    </row>
    <row r="24" spans="2:49" ht="9.9499999999999993" customHeight="1" x14ac:dyDescent="0.25">
      <c r="AD24" s="983" t="s">
        <v>181</v>
      </c>
      <c r="AE24" s="983"/>
      <c r="AF24" s="983"/>
      <c r="AG24" s="983"/>
      <c r="AH24" s="983"/>
      <c r="AI24" s="983"/>
      <c r="AJ24" s="983">
        <f>AJ20-AJ21</f>
        <v>0</v>
      </c>
      <c r="AK24" s="983"/>
    </row>
    <row r="25" spans="2:49" ht="9.9499999999999993" customHeight="1" x14ac:dyDescent="0.25"/>
    <row r="26" spans="2:49" ht="9" customHeight="1" x14ac:dyDescent="0.25">
      <c r="AD26" s="1923"/>
      <c r="AE26" s="1923"/>
      <c r="AF26" s="1923" t="str">
        <f>'Koncern BR'!W9</f>
        <v>Kvartal 2</v>
      </c>
      <c r="AG26" s="1923" t="str">
        <f>'Koncern BR'!X9</f>
        <v>Kvartal 2</v>
      </c>
      <c r="AH26" s="1923" t="str">
        <f>'Koncern BR'!Y9</f>
        <v>Kvartal 4</v>
      </c>
      <c r="AI26" s="1924"/>
      <c r="AJ26" s="1924"/>
      <c r="AK26" s="1923" t="str">
        <f>'Koncern BR'!O9</f>
        <v>31 dec</v>
      </c>
    </row>
    <row r="27" spans="2:49" ht="9" customHeight="1" x14ac:dyDescent="0.25">
      <c r="AD27" s="1925"/>
      <c r="AE27" s="1925"/>
      <c r="AF27" s="1925">
        <f>'Koncern BR'!W10</f>
        <v>2026</v>
      </c>
      <c r="AG27" s="1925">
        <f>'Koncern BR'!X10</f>
        <v>2025</v>
      </c>
      <c r="AH27" s="1925">
        <f>'Koncern BR'!Y10</f>
        <v>2025</v>
      </c>
      <c r="AI27" s="1924"/>
      <c r="AJ27" s="1924"/>
      <c r="AK27" s="1925">
        <f>'Koncern BR'!O10</f>
        <v>2025</v>
      </c>
    </row>
    <row r="28" spans="2:49" ht="9" customHeight="1" x14ac:dyDescent="0.25">
      <c r="AD28" s="1926" t="s">
        <v>856</v>
      </c>
      <c r="AE28" s="1927"/>
      <c r="AF28" s="1928">
        <f>'Koncern BR'!W32</f>
        <v>805.5</v>
      </c>
      <c r="AG28" s="1928">
        <f>'Koncern BR'!X32</f>
        <v>696.9</v>
      </c>
      <c r="AH28" s="1928">
        <f>AF28</f>
        <v>805.5</v>
      </c>
      <c r="AI28" s="1924"/>
      <c r="AJ28" s="1924"/>
      <c r="AK28" s="1427">
        <f>'Koncern BR'!O32</f>
        <v>714.8</v>
      </c>
    </row>
    <row r="29" spans="2:49" ht="9" customHeight="1" x14ac:dyDescent="0.25">
      <c r="AD29" s="983" t="s">
        <v>181</v>
      </c>
      <c r="AE29" s="983"/>
      <c r="AF29" s="983">
        <f>AF28-AF17</f>
        <v>0</v>
      </c>
      <c r="AG29" s="983">
        <f>AG28-AG17</f>
        <v>0</v>
      </c>
      <c r="AH29" s="983">
        <f>AH28-AH17</f>
        <v>0</v>
      </c>
      <c r="AI29" s="983">
        <f>AG28-AI17</f>
        <v>0</v>
      </c>
      <c r="AJ29" s="983">
        <f>AF28-AJ17</f>
        <v>0</v>
      </c>
      <c r="AK29" s="983">
        <f>AK28-AK17</f>
        <v>0</v>
      </c>
    </row>
    <row r="30" spans="2:49" ht="9" customHeight="1" x14ac:dyDescent="0.25"/>
    <row r="31" spans="2:49" ht="9" customHeight="1" x14ac:dyDescent="0.25"/>
    <row r="32" spans="2:49" ht="9" customHeight="1" x14ac:dyDescent="0.25"/>
    <row r="33" ht="9" customHeight="1" x14ac:dyDescent="0.25"/>
    <row r="34" ht="9" customHeight="1" x14ac:dyDescent="0.25"/>
    <row r="35" ht="9" customHeight="1" x14ac:dyDescent="0.25"/>
    <row r="36" ht="9" customHeight="1" x14ac:dyDescent="0.25"/>
    <row r="37" ht="9" customHeight="1" x14ac:dyDescent="0.25"/>
    <row r="38" ht="9" customHeight="1" x14ac:dyDescent="0.25"/>
  </sheetData>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C1:BU54"/>
  <sheetViews>
    <sheetView workbookViewId="0"/>
    <sheetView workbookViewId="1"/>
  </sheetViews>
  <sheetFormatPr defaultColWidth="9.140625" defaultRowHeight="9.75" customHeight="1" outlineLevelCol="1" x14ac:dyDescent="0.15"/>
  <cols>
    <col min="1" max="2" width="9.140625" style="259"/>
    <col min="3" max="3" width="33.42578125" style="259" customWidth="1"/>
    <col min="4" max="4" width="5.140625" style="259" customWidth="1"/>
    <col min="5" max="8" width="5.42578125" style="390" bestFit="1" customWidth="1" outlineLevel="1"/>
    <col min="9" max="9" width="4.7109375" style="390" bestFit="1" customWidth="1" outlineLevel="1"/>
    <col min="10" max="12" width="5.42578125" style="390" bestFit="1" customWidth="1" outlineLevel="1"/>
    <col min="13" max="13" width="4.7109375" style="390" bestFit="1" customWidth="1" outlineLevel="1"/>
    <col min="14" max="16" width="5.42578125" style="390" bestFit="1" customWidth="1" outlineLevel="1"/>
    <col min="17" max="17" width="4.140625" style="390" customWidth="1" outlineLevel="1"/>
    <col min="18" max="18" width="5.42578125" style="390" bestFit="1" customWidth="1" outlineLevel="1"/>
    <col min="19" max="27" width="4.7109375" style="390" bestFit="1" customWidth="1" outlineLevel="1"/>
    <col min="28" max="28" width="5.42578125" style="390" bestFit="1" customWidth="1" outlineLevel="1"/>
    <col min="29" max="29" width="4.7109375" style="390" bestFit="1" customWidth="1" outlineLevel="1"/>
    <col min="30" max="36" width="4.140625" style="259" customWidth="1" outlineLevel="1"/>
    <col min="37" max="37" width="29.7109375" style="259" customWidth="1" outlineLevel="1"/>
    <col min="38" max="38" width="4.7109375" style="259" customWidth="1" outlineLevel="1"/>
    <col min="39" max="40" width="9.28515625" style="390" customWidth="1"/>
    <col min="41" max="42" width="9.28515625" style="390" customWidth="1" outlineLevel="1"/>
    <col min="43" max="44" width="9.28515625" style="390" customWidth="1"/>
    <col min="45" max="45" width="16.85546875" style="259" customWidth="1"/>
    <col min="46" max="46" width="9.140625" style="259" hidden="1" customWidth="1"/>
    <col min="47" max="47" width="30.7109375" style="259" hidden="1" customWidth="1" outlineLevel="1"/>
    <col min="48" max="48" width="5.7109375" style="259" hidden="1" customWidth="1" outlineLevel="1"/>
    <col min="49" max="52" width="8.5703125" style="259" hidden="1" customWidth="1" outlineLevel="1"/>
    <col min="53" max="53" width="9.7109375" style="259" hidden="1" customWidth="1" outlineLevel="1"/>
    <col min="54" max="54" width="8.5703125" style="259" hidden="1" customWidth="1" outlineLevel="1"/>
    <col min="55" max="55" width="5.5703125" style="259" hidden="1" customWidth="1" outlineLevel="1"/>
    <col min="56" max="56" width="5.7109375" style="259" hidden="1" customWidth="1" outlineLevel="1"/>
    <col min="57" max="57" width="38.140625" style="259" hidden="1" customWidth="1" outlineLevel="1"/>
    <col min="58" max="63" width="7.7109375" style="259" hidden="1" customWidth="1" outlineLevel="1"/>
    <col min="64" max="64" width="4" style="259" customWidth="1" collapsed="1"/>
    <col min="65" max="65" width="4" style="259" customWidth="1"/>
    <col min="66" max="66" width="30.140625" style="259" customWidth="1"/>
    <col min="67" max="67" width="9.140625" style="259"/>
    <col min="68" max="69" width="9.28515625" style="259" customWidth="1"/>
    <col min="70" max="71" width="9.28515625" style="259" customWidth="1" outlineLevel="1"/>
    <col min="72" max="73" width="9.28515625" style="259" customWidth="1"/>
    <col min="74" max="16384" width="9.140625" style="259"/>
  </cols>
  <sheetData>
    <row r="1" spans="3:73" ht="9.75" customHeight="1" x14ac:dyDescent="0.15">
      <c r="C1" s="1930"/>
      <c r="D1" s="1930"/>
      <c r="E1" s="1931"/>
      <c r="F1" s="1931"/>
      <c r="G1" s="1931"/>
      <c r="H1" s="1931"/>
      <c r="I1" s="1931"/>
      <c r="J1" s="1931"/>
      <c r="K1" s="1931"/>
      <c r="L1" s="1931"/>
      <c r="M1" s="1931"/>
      <c r="N1" s="1931"/>
      <c r="O1" s="1931"/>
      <c r="P1" s="1931"/>
      <c r="Q1" s="1931"/>
      <c r="R1" s="1931"/>
      <c r="S1" s="1931"/>
      <c r="T1" s="1931"/>
      <c r="U1" s="1931"/>
      <c r="V1" s="1931"/>
      <c r="W1" s="1931"/>
      <c r="X1" s="1931"/>
      <c r="Y1" s="1931"/>
      <c r="Z1" s="1931"/>
      <c r="AA1" s="1931"/>
      <c r="AB1" s="1931"/>
      <c r="AC1" s="1931"/>
      <c r="AK1" s="1930"/>
      <c r="AL1" s="1930"/>
      <c r="AM1" s="1930"/>
      <c r="AN1" s="1930"/>
      <c r="AO1" s="1930"/>
      <c r="AP1" s="1930"/>
      <c r="AQ1" s="1930"/>
      <c r="AR1" s="1930"/>
      <c r="AU1" s="1453"/>
      <c r="AV1" s="1453"/>
      <c r="AW1" s="1453"/>
      <c r="AX1" s="1453"/>
      <c r="AY1" s="1453"/>
      <c r="AZ1" s="1453"/>
      <c r="BA1" s="1453"/>
      <c r="BB1" s="1453"/>
      <c r="BC1" s="1454"/>
      <c r="BD1" s="1454"/>
      <c r="BE1" s="1453"/>
      <c r="BF1" s="1453"/>
      <c r="BG1" s="1453"/>
      <c r="BH1" s="1453"/>
      <c r="BI1" s="1453"/>
      <c r="BJ1" s="1453"/>
      <c r="BK1" s="1453"/>
      <c r="BN1" s="1930"/>
      <c r="BO1" s="1930"/>
      <c r="BP1" s="1930"/>
      <c r="BQ1" s="1930"/>
      <c r="BR1" s="1930"/>
      <c r="BS1" s="1930"/>
      <c r="BT1" s="1930"/>
      <c r="BU1" s="1930"/>
    </row>
    <row r="2" spans="3:73" ht="9.75" customHeight="1" x14ac:dyDescent="0.15">
      <c r="AM2" s="259"/>
      <c r="AU2" s="1453"/>
      <c r="AV2" s="1453"/>
      <c r="AW2" s="1453"/>
      <c r="AX2" s="1453"/>
      <c r="AY2" s="1453"/>
      <c r="AZ2" s="1453"/>
      <c r="BA2" s="1453"/>
      <c r="BB2" s="1453"/>
      <c r="BC2" s="1454"/>
      <c r="BD2" s="1454"/>
      <c r="BE2" s="1453"/>
      <c r="BF2" s="1453"/>
      <c r="BG2" s="1453"/>
      <c r="BH2" s="1453"/>
      <c r="BI2" s="1453"/>
      <c r="BJ2" s="1453"/>
      <c r="BK2" s="1453"/>
    </row>
    <row r="3" spans="3:73" ht="9.75" customHeight="1" x14ac:dyDescent="0.15">
      <c r="AM3" s="259"/>
      <c r="AU3" s="1453"/>
      <c r="AV3" s="1453"/>
      <c r="AW3" s="1453"/>
      <c r="AX3" s="1453"/>
      <c r="AY3" s="1453"/>
      <c r="AZ3" s="1453"/>
      <c r="BA3" s="1453"/>
      <c r="BB3" s="1453"/>
      <c r="BC3" s="1454"/>
      <c r="BD3" s="1454"/>
      <c r="BE3" s="1453"/>
      <c r="BF3" s="1453"/>
      <c r="BG3" s="1453"/>
      <c r="BH3" s="1453"/>
      <c r="BI3" s="1453"/>
      <c r="BJ3" s="1453"/>
      <c r="BK3" s="1453"/>
    </row>
    <row r="4" spans="3:73" ht="15" x14ac:dyDescent="0.25">
      <c r="C4" s="794" t="s">
        <v>687</v>
      </c>
      <c r="D4" s="271"/>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K4" s="794" t="s">
        <v>688</v>
      </c>
      <c r="AL4" s="794"/>
      <c r="AM4" s="794"/>
      <c r="AN4" s="794"/>
      <c r="AO4" s="424"/>
      <c r="AP4" s="424"/>
      <c r="AQ4" s="424"/>
      <c r="AR4" s="424"/>
      <c r="AU4" s="1455" t="s">
        <v>692</v>
      </c>
      <c r="AV4" s="1456"/>
      <c r="AW4" s="1456"/>
      <c r="AX4" s="1456"/>
      <c r="AY4" s="1456"/>
      <c r="AZ4" s="1456"/>
      <c r="BA4" s="1456"/>
      <c r="BB4" s="1456"/>
      <c r="BC4" s="1454"/>
      <c r="BD4" s="1454"/>
      <c r="BE4" s="1455" t="s">
        <v>691</v>
      </c>
      <c r="BF4" s="1456"/>
      <c r="BG4" s="1456"/>
      <c r="BH4" s="1456"/>
      <c r="BI4" s="1456"/>
      <c r="BJ4" s="1456"/>
      <c r="BK4" s="1456"/>
      <c r="BN4" s="794" t="s">
        <v>689</v>
      </c>
      <c r="BO4" s="271"/>
      <c r="BP4" s="424"/>
      <c r="BQ4" s="424"/>
      <c r="BR4" s="424"/>
      <c r="BS4" s="424"/>
      <c r="BT4" s="424"/>
      <c r="BU4" s="424"/>
    </row>
    <row r="5" spans="3:73" ht="9.75" customHeight="1" x14ac:dyDescent="0.15">
      <c r="AU5" s="1453"/>
      <c r="AV5" s="1453"/>
      <c r="AW5" s="1453"/>
      <c r="AX5" s="1453"/>
      <c r="AY5" s="1453"/>
      <c r="AZ5" s="1453"/>
      <c r="BA5" s="1453"/>
      <c r="BB5" s="1453"/>
      <c r="BC5" s="1454"/>
      <c r="BD5" s="1454"/>
      <c r="BE5" s="1453"/>
      <c r="BF5" s="1453"/>
      <c r="BG5" s="1453"/>
      <c r="BH5" s="1453"/>
      <c r="BI5" s="1453"/>
      <c r="BJ5" s="1453"/>
      <c r="BK5" s="1453"/>
    </row>
    <row r="6" spans="3:73" ht="11.25" customHeight="1" x14ac:dyDescent="0.15">
      <c r="C6" s="257" t="s">
        <v>537</v>
      </c>
      <c r="D6" s="257"/>
      <c r="F6" s="477"/>
      <c r="G6" s="477"/>
      <c r="H6" s="477"/>
      <c r="I6" s="477"/>
      <c r="J6" s="477"/>
      <c r="K6" s="477"/>
      <c r="L6" s="477"/>
      <c r="M6" s="477"/>
      <c r="N6" s="477"/>
      <c r="O6" s="477"/>
      <c r="P6" s="477"/>
      <c r="R6" s="477"/>
      <c r="S6" s="477"/>
      <c r="T6" s="477"/>
      <c r="U6" s="477"/>
      <c r="V6" s="477"/>
      <c r="W6" s="477"/>
      <c r="X6" s="477"/>
      <c r="Y6" s="477"/>
      <c r="Z6" s="477"/>
      <c r="AA6" s="477"/>
      <c r="AB6" s="477"/>
      <c r="AC6" s="477"/>
      <c r="AD6" s="257"/>
      <c r="AE6" s="257"/>
      <c r="AF6" s="257"/>
      <c r="AG6" s="257"/>
      <c r="AH6" s="257"/>
      <c r="AI6" s="257"/>
      <c r="AJ6" s="257"/>
      <c r="AK6" s="257"/>
      <c r="AL6" s="257"/>
      <c r="AU6" s="1453"/>
      <c r="AV6" s="1453"/>
      <c r="AW6" s="1453"/>
      <c r="AX6" s="1453"/>
      <c r="AY6" s="1453"/>
      <c r="AZ6" s="1453"/>
      <c r="BA6" s="1453"/>
      <c r="BB6" s="1453"/>
      <c r="BC6" s="1454"/>
      <c r="BD6" s="1454"/>
      <c r="BE6" s="1453"/>
      <c r="BF6" s="1453"/>
      <c r="BG6" s="1453"/>
      <c r="BH6" s="1453"/>
      <c r="BI6" s="1453"/>
      <c r="BJ6" s="1453"/>
      <c r="BK6" s="1453"/>
      <c r="BN6" s="257" t="s">
        <v>538</v>
      </c>
      <c r="BO6" s="257"/>
      <c r="BP6" s="390"/>
      <c r="BQ6" s="390"/>
      <c r="BR6" s="390"/>
      <c r="BS6" s="390"/>
      <c r="BT6" s="390"/>
      <c r="BU6" s="390"/>
    </row>
    <row r="7" spans="3:73" ht="11.25" customHeight="1" x14ac:dyDescent="0.15">
      <c r="C7" s="260"/>
      <c r="D7" s="260"/>
      <c r="E7" s="261" t="s">
        <v>159</v>
      </c>
      <c r="F7" s="261" t="s">
        <v>159</v>
      </c>
      <c r="G7" s="261" t="s">
        <v>159</v>
      </c>
      <c r="H7" s="261" t="s">
        <v>159</v>
      </c>
      <c r="I7" s="261" t="s">
        <v>159</v>
      </c>
      <c r="J7" s="261" t="s">
        <v>159</v>
      </c>
      <c r="K7" s="261" t="s">
        <v>159</v>
      </c>
      <c r="L7" s="261" t="s">
        <v>159</v>
      </c>
      <c r="M7" s="261" t="s">
        <v>159</v>
      </c>
      <c r="N7" s="261" t="s">
        <v>159</v>
      </c>
      <c r="O7" s="261" t="s">
        <v>159</v>
      </c>
      <c r="P7" s="261" t="s">
        <v>159</v>
      </c>
      <c r="R7" s="261" t="s">
        <v>160</v>
      </c>
      <c r="S7" s="261" t="s">
        <v>160</v>
      </c>
      <c r="T7" s="261" t="s">
        <v>160</v>
      </c>
      <c r="U7" s="261" t="s">
        <v>160</v>
      </c>
      <c r="V7" s="261" t="s">
        <v>160</v>
      </c>
      <c r="W7" s="261" t="s">
        <v>160</v>
      </c>
      <c r="X7" s="261" t="s">
        <v>160</v>
      </c>
      <c r="Y7" s="261" t="s">
        <v>160</v>
      </c>
      <c r="Z7" s="261" t="s">
        <v>160</v>
      </c>
      <c r="AA7" s="261" t="s">
        <v>160</v>
      </c>
      <c r="AB7" s="261" t="s">
        <v>160</v>
      </c>
      <c r="AC7" s="261" t="s">
        <v>160</v>
      </c>
      <c r="AD7" s="257"/>
      <c r="AE7" s="257"/>
      <c r="AF7" s="257"/>
      <c r="AG7" s="257"/>
      <c r="AH7" s="257"/>
      <c r="AI7" s="257"/>
      <c r="AJ7" s="257"/>
      <c r="AK7" s="260"/>
      <c r="AL7" s="260"/>
      <c r="AM7" s="261" t="s">
        <v>198</v>
      </c>
      <c r="AN7" s="261" t="str">
        <f>AM7</f>
        <v>Kvartal 2</v>
      </c>
      <c r="AO7" s="261" t="str">
        <f>+[2]rapkvart!F101</f>
        <v>Kvartal 1-2</v>
      </c>
      <c r="AP7" s="261" t="str">
        <f>+[2]rapkvart!G101</f>
        <v>Kvartal 1-2</v>
      </c>
      <c r="AQ7" s="261" t="s">
        <v>199</v>
      </c>
      <c r="AR7" s="261" t="s">
        <v>32</v>
      </c>
      <c r="AU7" s="1457" t="s">
        <v>539</v>
      </c>
      <c r="AV7" s="1457"/>
      <c r="AW7" s="1458" t="str">
        <f>AM7</f>
        <v>Kvartal 2</v>
      </c>
      <c r="AX7" s="1458" t="str">
        <f t="shared" ref="AX7:BB8" si="0">AN7</f>
        <v>Kvartal 2</v>
      </c>
      <c r="AY7" s="1458" t="str">
        <f t="shared" si="0"/>
        <v>Kvartal 1-2</v>
      </c>
      <c r="AZ7" s="1458" t="str">
        <f t="shared" si="0"/>
        <v>Kvartal 1-2</v>
      </c>
      <c r="BA7" s="1458" t="str">
        <f t="shared" si="0"/>
        <v>Kvartal 2, R12</v>
      </c>
      <c r="BB7" s="1458" t="str">
        <f t="shared" si="0"/>
        <v>Helår</v>
      </c>
      <c r="BC7" s="1454"/>
      <c r="BD7" s="1454"/>
      <c r="BE7" s="1457" t="s">
        <v>540</v>
      </c>
      <c r="BF7" s="1458" t="s">
        <v>200</v>
      </c>
      <c r="BG7" s="1458" t="s">
        <v>200</v>
      </c>
      <c r="BH7" s="1458" t="s">
        <v>201</v>
      </c>
      <c r="BI7" s="1458" t="s">
        <v>201</v>
      </c>
      <c r="BJ7" s="1458" t="s">
        <v>202</v>
      </c>
      <c r="BK7" s="1458" t="s">
        <v>541</v>
      </c>
      <c r="BN7" s="1753"/>
      <c r="BO7" s="1753"/>
      <c r="BP7" s="1691" t="s">
        <v>200</v>
      </c>
      <c r="BQ7" s="1691" t="s">
        <v>200</v>
      </c>
      <c r="BR7" s="1691" t="s">
        <v>201</v>
      </c>
      <c r="BS7" s="1691" t="s">
        <v>201</v>
      </c>
      <c r="BT7" s="1691" t="s">
        <v>202</v>
      </c>
      <c r="BU7" s="1691" t="s">
        <v>541</v>
      </c>
    </row>
    <row r="8" spans="3:73" ht="9.75" customHeight="1" x14ac:dyDescent="0.15">
      <c r="C8" s="273" t="str">
        <f>+[2]rapkvart!$B102</f>
        <v>Mkr</v>
      </c>
      <c r="D8" s="273" t="str">
        <f>+[2]rapkvart!$C$102</f>
        <v>Not</v>
      </c>
      <c r="E8" s="948">
        <v>2403</v>
      </c>
      <c r="F8" s="948">
        <f>E8+3</f>
        <v>2406</v>
      </c>
      <c r="G8" s="948">
        <f t="shared" ref="G8:H8" si="1">F8+3</f>
        <v>2409</v>
      </c>
      <c r="H8" s="948">
        <f t="shared" si="1"/>
        <v>2412</v>
      </c>
      <c r="I8" s="948">
        <f>E8+100</f>
        <v>2503</v>
      </c>
      <c r="J8" s="948">
        <f t="shared" ref="J8:N8" si="2">F8+100</f>
        <v>2506</v>
      </c>
      <c r="K8" s="948">
        <f t="shared" si="2"/>
        <v>2509</v>
      </c>
      <c r="L8" s="948">
        <f t="shared" si="2"/>
        <v>2512</v>
      </c>
      <c r="M8" s="948">
        <f t="shared" si="2"/>
        <v>2603</v>
      </c>
      <c r="N8" s="948">
        <f t="shared" si="2"/>
        <v>2606</v>
      </c>
      <c r="O8" s="948">
        <f t="shared" ref="O8" si="3">K8+100</f>
        <v>2609</v>
      </c>
      <c r="P8" s="948">
        <f t="shared" ref="P8" si="4">L8+100</f>
        <v>2612</v>
      </c>
      <c r="R8" s="948">
        <v>2403</v>
      </c>
      <c r="S8" s="948">
        <f>R8+3</f>
        <v>2406</v>
      </c>
      <c r="T8" s="948">
        <f t="shared" ref="T8:Y8" si="5">S8+3</f>
        <v>2409</v>
      </c>
      <c r="U8" s="948">
        <f t="shared" si="5"/>
        <v>2412</v>
      </c>
      <c r="V8" s="948">
        <v>2503</v>
      </c>
      <c r="W8" s="948">
        <f t="shared" si="5"/>
        <v>2506</v>
      </c>
      <c r="X8" s="948">
        <f t="shared" si="5"/>
        <v>2509</v>
      </c>
      <c r="Y8" s="948">
        <f t="shared" si="5"/>
        <v>2512</v>
      </c>
      <c r="Z8" s="948">
        <v>2603</v>
      </c>
      <c r="AA8" s="948">
        <v>2606</v>
      </c>
      <c r="AB8" s="948">
        <v>2606</v>
      </c>
      <c r="AC8" s="948">
        <v>2606</v>
      </c>
      <c r="AD8" s="257"/>
      <c r="AE8" s="257"/>
      <c r="AF8" s="257"/>
      <c r="AG8" s="257"/>
      <c r="AH8" s="257"/>
      <c r="AI8" s="257"/>
      <c r="AJ8" s="257"/>
      <c r="AK8" s="273"/>
      <c r="AL8" s="275" t="s">
        <v>690</v>
      </c>
      <c r="AM8" s="948">
        <v>2026</v>
      </c>
      <c r="AN8" s="948">
        <v>2025</v>
      </c>
      <c r="AO8" s="948">
        <f>+[2]rapkvart!F102</f>
        <v>2026</v>
      </c>
      <c r="AP8" s="948">
        <f>+[2]rapkvart!G102</f>
        <v>2025</v>
      </c>
      <c r="AQ8" s="948">
        <f>AM8</f>
        <v>2026</v>
      </c>
      <c r="AR8" s="948">
        <f>AN8</f>
        <v>2025</v>
      </c>
      <c r="AU8" s="1459"/>
      <c r="AV8" s="1459"/>
      <c r="AW8" s="1460">
        <f>AM8</f>
        <v>2026</v>
      </c>
      <c r="AX8" s="1460">
        <f t="shared" si="0"/>
        <v>2025</v>
      </c>
      <c r="AY8" s="1460">
        <f t="shared" si="0"/>
        <v>2026</v>
      </c>
      <c r="AZ8" s="1460">
        <f t="shared" si="0"/>
        <v>2025</v>
      </c>
      <c r="BA8" s="1460">
        <f t="shared" si="0"/>
        <v>2026</v>
      </c>
      <c r="BB8" s="1460">
        <f t="shared" si="0"/>
        <v>2025</v>
      </c>
      <c r="BC8" s="1454"/>
      <c r="BD8" s="1454"/>
      <c r="BE8" s="1459"/>
      <c r="BF8" s="1460">
        <v>2026</v>
      </c>
      <c r="BG8" s="1460">
        <v>2025</v>
      </c>
      <c r="BH8" s="1460">
        <v>2026</v>
      </c>
      <c r="BI8" s="1460">
        <v>2025</v>
      </c>
      <c r="BJ8" s="1460">
        <v>2026</v>
      </c>
      <c r="BK8" s="1460">
        <v>2025</v>
      </c>
      <c r="BN8" s="1690" t="str">
        <f>+[2]rapkvart!$A102</f>
        <v>MSEK</v>
      </c>
      <c r="BO8" s="1980" t="s">
        <v>219</v>
      </c>
      <c r="BP8" s="2263">
        <v>2026</v>
      </c>
      <c r="BQ8" s="2263">
        <v>2025</v>
      </c>
      <c r="BR8" s="2263">
        <v>2026</v>
      </c>
      <c r="BS8" s="2263">
        <v>2025</v>
      </c>
      <c r="BT8" s="2263">
        <v>2026</v>
      </c>
      <c r="BU8" s="2263">
        <v>2025</v>
      </c>
    </row>
    <row r="9" spans="3:73" ht="9" customHeight="1" x14ac:dyDescent="0.15">
      <c r="C9" s="786" t="str">
        <f>+[2]rapkvart!$B103</f>
        <v>Den löpande verksamheten</v>
      </c>
      <c r="D9" s="472"/>
      <c r="E9" s="1323"/>
      <c r="F9" s="1323"/>
      <c r="G9" s="1323"/>
      <c r="H9" s="1323"/>
      <c r="I9" s="1323"/>
      <c r="J9" s="1323"/>
      <c r="K9" s="1323"/>
      <c r="L9" s="1323"/>
      <c r="M9" s="1323"/>
      <c r="N9" s="1323"/>
      <c r="O9" s="1323"/>
      <c r="P9" s="1323"/>
      <c r="R9" s="1323"/>
      <c r="S9" s="1323"/>
      <c r="T9" s="1323"/>
      <c r="U9" s="1323"/>
      <c r="V9" s="1323"/>
      <c r="W9" s="1323"/>
      <c r="X9" s="1323"/>
      <c r="Y9" s="1323"/>
      <c r="Z9" s="1323"/>
      <c r="AA9" s="1323"/>
      <c r="AB9" s="1323"/>
      <c r="AC9" s="1323"/>
      <c r="AD9" s="257"/>
      <c r="AE9" s="257"/>
      <c r="AF9" s="257"/>
      <c r="AG9" s="257"/>
      <c r="AH9" s="257"/>
      <c r="AI9" s="257"/>
      <c r="AJ9" s="257"/>
      <c r="AK9" s="257" t="str">
        <f>C9</f>
        <v>Den löpande verksamheten</v>
      </c>
      <c r="AL9" s="1737"/>
      <c r="AM9" s="1943"/>
      <c r="AN9" s="1738"/>
      <c r="AO9" s="1943"/>
      <c r="AP9" s="1738"/>
      <c r="AQ9" s="1943"/>
      <c r="AR9" s="1738"/>
      <c r="AU9" s="1461" t="s">
        <v>542</v>
      </c>
      <c r="AV9" s="1461"/>
      <c r="AW9" s="1462">
        <f>'[3]Not 9 - Polen'!$C$23</f>
        <v>31.2</v>
      </c>
      <c r="AX9" s="1462">
        <f>'[3]Not 9 - Polen'!$D$23</f>
        <v>-14.4</v>
      </c>
      <c r="AY9" s="1462"/>
      <c r="AZ9" s="1462"/>
      <c r="BA9" s="1462"/>
      <c r="BB9" s="1462"/>
      <c r="BC9" s="1454"/>
      <c r="BD9" s="1454"/>
      <c r="BE9" s="1461" t="str">
        <f>+[2]rapkvart!$A117</f>
        <v>Cash flow from operating activities</v>
      </c>
      <c r="BF9" s="1462">
        <f>AW9</f>
        <v>31.2</v>
      </c>
      <c r="BG9" s="1462">
        <f t="shared" ref="BG9:BK12" si="6">AX9</f>
        <v>-14.4</v>
      </c>
      <c r="BH9" s="1462">
        <f t="shared" si="6"/>
        <v>0</v>
      </c>
      <c r="BI9" s="1462">
        <f t="shared" si="6"/>
        <v>0</v>
      </c>
      <c r="BJ9" s="1462">
        <f t="shared" si="6"/>
        <v>0</v>
      </c>
      <c r="BK9" s="1462">
        <f t="shared" si="6"/>
        <v>0</v>
      </c>
      <c r="BN9" s="2236" t="str">
        <f>+[2]rapkvart!$A103</f>
        <v>Operating activities</v>
      </c>
      <c r="BO9" s="2237"/>
      <c r="BP9" s="2238"/>
      <c r="BQ9" s="2239"/>
      <c r="BR9" s="2238"/>
      <c r="BS9" s="2239"/>
      <c r="BT9" s="2238"/>
      <c r="BU9" s="2239"/>
    </row>
    <row r="10" spans="3:73" ht="9" customHeight="1" x14ac:dyDescent="0.15">
      <c r="C10" s="472" t="str">
        <f>+[2]rapkvart!$B104</f>
        <v>Resultat före skatt från:</v>
      </c>
      <c r="D10" s="472"/>
      <c r="E10" s="1316">
        <f>[2]rapkvart!S104</f>
        <v>0</v>
      </c>
      <c r="F10" s="1316">
        <f>[2]rapkvart!T104</f>
        <v>0</v>
      </c>
      <c r="G10" s="1316">
        <f>[2]rapkvart!U104</f>
        <v>0</v>
      </c>
      <c r="H10" s="1316">
        <f>[2]rapkvart!V104</f>
        <v>0</v>
      </c>
      <c r="I10" s="1316">
        <f>[2]rapkvart!O104</f>
        <v>0</v>
      </c>
      <c r="J10" s="1316">
        <f>[2]rapkvart!P104</f>
        <v>0</v>
      </c>
      <c r="K10" s="1316">
        <f>[2]rapkvart!Q104</f>
        <v>0</v>
      </c>
      <c r="L10" s="1316">
        <f>[2]rapkvart!R104</f>
        <v>0</v>
      </c>
      <c r="M10" s="1316">
        <f>[2]rapkvart!K104</f>
        <v>0</v>
      </c>
      <c r="N10" s="1316">
        <f>[2]rapkvart!L104</f>
        <v>0</v>
      </c>
      <c r="O10" s="1316">
        <f>[2]rapkvart!M104</f>
        <v>0</v>
      </c>
      <c r="P10" s="1316">
        <f>[2]rapkvart!N104</f>
        <v>0</v>
      </c>
      <c r="R10" s="1316">
        <f>[2]rapkvart!AE104</f>
        <v>0</v>
      </c>
      <c r="S10" s="1316">
        <f>[2]rapkvart!AF104</f>
        <v>0</v>
      </c>
      <c r="T10" s="1316">
        <f>[2]rapkvart!AG104</f>
        <v>0</v>
      </c>
      <c r="U10" s="1316">
        <f>[2]rapkvart!AH104</f>
        <v>0</v>
      </c>
      <c r="V10" s="1316">
        <f>[2]rapkvart!AA104</f>
        <v>0</v>
      </c>
      <c r="W10" s="1316">
        <f>[2]rapkvart!AB104</f>
        <v>0</v>
      </c>
      <c r="X10" s="1316">
        <f>[2]rapkvart!AC104</f>
        <v>0</v>
      </c>
      <c r="Y10" s="1316">
        <f>[2]rapkvart!AD104</f>
        <v>0</v>
      </c>
      <c r="Z10" s="1316">
        <f>[2]rapkvart!W104</f>
        <v>0</v>
      </c>
      <c r="AA10" s="1316">
        <f>[2]rapkvart!X104</f>
        <v>0</v>
      </c>
      <c r="AB10" s="1316">
        <f>[2]rapkvart!Y104</f>
        <v>0</v>
      </c>
      <c r="AC10" s="1316">
        <f>[2]rapkvart!Z104</f>
        <v>0</v>
      </c>
      <c r="AD10" s="257"/>
      <c r="AE10" s="257"/>
      <c r="AF10" s="257"/>
      <c r="AG10" s="257"/>
      <c r="AH10" s="257"/>
      <c r="AI10" s="257"/>
      <c r="AJ10" s="257"/>
      <c r="AK10" s="1737" t="str">
        <f t="shared" ref="AK10:AK43" si="7">C10</f>
        <v>Resultat före skatt från:</v>
      </c>
      <c r="AL10" s="1737"/>
      <c r="AM10" s="2052"/>
      <c r="AO10" s="2052"/>
      <c r="AQ10" s="2052"/>
      <c r="AU10" s="1461" t="s">
        <v>543</v>
      </c>
      <c r="AV10" s="1461"/>
      <c r="AW10" s="1463">
        <f>'[3]Not 9 - Polen'!$C$24</f>
        <v>0</v>
      </c>
      <c r="AX10" s="1463">
        <f>'[3]Not 9 - Polen'!$D$24</f>
        <v>0</v>
      </c>
      <c r="AY10" s="1463"/>
      <c r="AZ10" s="1463"/>
      <c r="BA10" s="1463"/>
      <c r="BB10" s="1463"/>
      <c r="BC10" s="1454"/>
      <c r="BD10" s="1464"/>
      <c r="BE10" s="1461" t="str">
        <f>+[2]rapkvart!$A121</f>
        <v>Cash flow from investing activities</v>
      </c>
      <c r="BF10" s="1463">
        <f t="shared" ref="BF10:BF12" si="8">AW10</f>
        <v>0</v>
      </c>
      <c r="BG10" s="1463">
        <f t="shared" si="6"/>
        <v>0</v>
      </c>
      <c r="BH10" s="1463">
        <f t="shared" si="6"/>
        <v>0</v>
      </c>
      <c r="BI10" s="1463">
        <f t="shared" si="6"/>
        <v>0</v>
      </c>
      <c r="BJ10" s="1463">
        <f t="shared" si="6"/>
        <v>0</v>
      </c>
      <c r="BK10" s="1463">
        <f t="shared" si="6"/>
        <v>0</v>
      </c>
      <c r="BN10" s="2237" t="str">
        <f>+[2]rapkvart!$A104</f>
        <v>Income after financial items from:</v>
      </c>
      <c r="BO10" s="2237"/>
      <c r="BP10" s="2240"/>
      <c r="BQ10" s="2241"/>
      <c r="BR10" s="2240"/>
      <c r="BS10" s="2241"/>
      <c r="BT10" s="2240"/>
      <c r="BU10" s="2241"/>
    </row>
    <row r="11" spans="3:73" ht="9" customHeight="1" x14ac:dyDescent="0.15">
      <c r="C11" s="472" t="str">
        <f>+[2]rapkvart!$B105</f>
        <v>Kvarvarande verksamhet</v>
      </c>
      <c r="D11" s="472"/>
      <c r="E11" s="1316">
        <f>[2]rapkvart!S105</f>
        <v>34.600000000000044</v>
      </c>
      <c r="F11" s="1316">
        <f>[2]rapkvart!T105</f>
        <v>87.000000000000099</v>
      </c>
      <c r="G11" s="1316">
        <f>[2]rapkvart!U105</f>
        <v>110.6999999999999</v>
      </c>
      <c r="H11" s="1316">
        <f>[2]rapkvart!V105</f>
        <v>132.90000000000015</v>
      </c>
      <c r="I11" s="1316">
        <f>[2]rapkvart!O105</f>
        <v>58.900000000000063</v>
      </c>
      <c r="J11" s="1316">
        <f>[2]rapkvart!P105</f>
        <v>93.499999999999915</v>
      </c>
      <c r="K11" s="1316">
        <f>[2]rapkvart!Q105</f>
        <v>120.3</v>
      </c>
      <c r="L11" s="1316">
        <f>[2]rapkvart!R105</f>
        <v>141.7000000000001</v>
      </c>
      <c r="M11" s="1316">
        <f>[2]rapkvart!K105</f>
        <v>47.199999999999982</v>
      </c>
      <c r="N11" s="1316">
        <f>[2]rapkvart!L105</f>
        <v>135.30000000000001</v>
      </c>
      <c r="O11" s="1316">
        <f>[2]rapkvart!M105</f>
        <v>120.3</v>
      </c>
      <c r="P11" s="1316">
        <f>[2]rapkvart!N105</f>
        <v>141.7000000000001</v>
      </c>
      <c r="R11" s="1316">
        <f>[2]rapkvart!AE105</f>
        <v>34.600000000000044</v>
      </c>
      <c r="S11" s="1316">
        <f>[2]rapkvart!AF105</f>
        <v>52.400000000000055</v>
      </c>
      <c r="T11" s="1316">
        <f>[2]rapkvart!AG105</f>
        <v>23.699999999999804</v>
      </c>
      <c r="U11" s="1316">
        <f>[2]rapkvart!AH105</f>
        <v>22.200000000000244</v>
      </c>
      <c r="V11" s="1316">
        <f>[2]rapkvart!AA105</f>
        <v>58.900000000000063</v>
      </c>
      <c r="W11" s="1316">
        <f>[2]rapkvart!AB105</f>
        <v>34.599999999999852</v>
      </c>
      <c r="X11" s="1316">
        <f>[2]rapkvart!AC105</f>
        <v>26.800000000000082</v>
      </c>
      <c r="Y11" s="1316">
        <f>[2]rapkvart!AD105</f>
        <v>21.400000000000105</v>
      </c>
      <c r="Z11" s="1316">
        <f>[2]rapkvart!W105</f>
        <v>47.199999999999982</v>
      </c>
      <c r="AA11" s="1316">
        <f>[2]rapkvart!X105</f>
        <v>88.100000000000023</v>
      </c>
      <c r="AB11" s="1316">
        <f>[2]rapkvart!Y105</f>
        <v>-15.000000000000014</v>
      </c>
      <c r="AC11" s="1316">
        <f>[2]rapkvart!Z105</f>
        <v>21.400000000000105</v>
      </c>
      <c r="AD11" s="257"/>
      <c r="AE11" s="257"/>
      <c r="AF11" s="257"/>
      <c r="AG11" s="257"/>
      <c r="AH11" s="257"/>
      <c r="AI11" s="257"/>
      <c r="AJ11" s="257"/>
      <c r="AK11" s="472" t="str">
        <f t="shared" si="7"/>
        <v>Kvarvarande verksamhet</v>
      </c>
      <c r="AL11" s="472"/>
      <c r="AM11" s="1258">
        <f>AA11</f>
        <v>88.100000000000023</v>
      </c>
      <c r="AN11" s="1251">
        <f>W11</f>
        <v>34.599999999999852</v>
      </c>
      <c r="AO11" s="1258">
        <f>N11</f>
        <v>135.30000000000001</v>
      </c>
      <c r="AP11" s="1251">
        <f>J11</f>
        <v>93.499999999999915</v>
      </c>
      <c r="AQ11" s="1258">
        <f>SUM(X11:AA11)</f>
        <v>183.5000000000002</v>
      </c>
      <c r="AR11" s="1251">
        <f>L11</f>
        <v>141.7000000000001</v>
      </c>
      <c r="AU11" s="1465" t="s">
        <v>544</v>
      </c>
      <c r="AV11" s="1465"/>
      <c r="AW11" s="1466">
        <f>'[3]Not 9 - Polen'!$C$25</f>
        <v>0</v>
      </c>
      <c r="AX11" s="1466">
        <f>'[3]Not 9 - Polen'!$D$25</f>
        <v>0</v>
      </c>
      <c r="AY11" s="1466"/>
      <c r="AZ11" s="1466"/>
      <c r="BA11" s="1466"/>
      <c r="BB11" s="1466"/>
      <c r="BC11" s="1454"/>
      <c r="BD11" s="1464"/>
      <c r="BE11" s="1465" t="str">
        <f>+[2]rapkvart!$A129</f>
        <v>Cash flow from financing activities</v>
      </c>
      <c r="BF11" s="1466">
        <f t="shared" si="8"/>
        <v>0</v>
      </c>
      <c r="BG11" s="1466">
        <f t="shared" si="6"/>
        <v>0</v>
      </c>
      <c r="BH11" s="1466">
        <f t="shared" si="6"/>
        <v>0</v>
      </c>
      <c r="BI11" s="1466">
        <f t="shared" si="6"/>
        <v>0</v>
      </c>
      <c r="BJ11" s="1466">
        <f t="shared" si="6"/>
        <v>0</v>
      </c>
      <c r="BK11" s="1466">
        <f t="shared" si="6"/>
        <v>0</v>
      </c>
      <c r="BN11" s="1593" t="str">
        <f>+[2]rapkvart!$A105</f>
        <v>Continued operations</v>
      </c>
      <c r="BO11" s="1593"/>
      <c r="BP11" s="2242">
        <f t="shared" ref="BP11:BU11" si="9">AM11</f>
        <v>88.100000000000023</v>
      </c>
      <c r="BQ11" s="1731">
        <f t="shared" si="9"/>
        <v>34.599999999999852</v>
      </c>
      <c r="BR11" s="2242">
        <f t="shared" si="9"/>
        <v>135.30000000000001</v>
      </c>
      <c r="BS11" s="1731">
        <f t="shared" si="9"/>
        <v>93.499999999999915</v>
      </c>
      <c r="BT11" s="2242">
        <f t="shared" si="9"/>
        <v>183.5000000000002</v>
      </c>
      <c r="BU11" s="1731">
        <f t="shared" si="9"/>
        <v>141.7000000000001</v>
      </c>
    </row>
    <row r="12" spans="3:73" ht="9" customHeight="1" x14ac:dyDescent="0.15">
      <c r="C12" s="785" t="str">
        <f>+[2]rapkvart!$B106</f>
        <v>Avvecklad verksamhet</v>
      </c>
      <c r="D12" s="785"/>
      <c r="E12" s="1324">
        <f>[2]rapkvart!S106</f>
        <v>0</v>
      </c>
      <c r="F12" s="1324">
        <f>[2]rapkvart!T106</f>
        <v>0</v>
      </c>
      <c r="G12" s="1324">
        <f>[2]rapkvart!U106</f>
        <v>0</v>
      </c>
      <c r="H12" s="1324">
        <f>[2]rapkvart!V106</f>
        <v>0</v>
      </c>
      <c r="I12" s="1324">
        <f>[2]rapkvart!O106</f>
        <v>-3.4</v>
      </c>
      <c r="J12" s="1324">
        <f>[2]rapkvart!P106</f>
        <v>-12.7</v>
      </c>
      <c r="K12" s="1324">
        <f>[2]rapkvart!Q106</f>
        <v>-20.6</v>
      </c>
      <c r="L12" s="1324">
        <f>[2]rapkvart!R106</f>
        <v>-40</v>
      </c>
      <c r="M12" s="1324">
        <f>[2]rapkvart!K106</f>
        <v>-3.5</v>
      </c>
      <c r="N12" s="1324">
        <f>[2]rapkvart!L106</f>
        <v>-4.3</v>
      </c>
      <c r="O12" s="1324">
        <f>[2]rapkvart!M106</f>
        <v>-20.6</v>
      </c>
      <c r="P12" s="1324">
        <f>[2]rapkvart!N106</f>
        <v>-40</v>
      </c>
      <c r="R12" s="1324">
        <f>[2]rapkvart!AE106</f>
        <v>0</v>
      </c>
      <c r="S12" s="1324">
        <f>[2]rapkvart!AF106</f>
        <v>0</v>
      </c>
      <c r="T12" s="1324">
        <f>[2]rapkvart!AG106</f>
        <v>0</v>
      </c>
      <c r="U12" s="1324">
        <f>[2]rapkvart!AH106</f>
        <v>0</v>
      </c>
      <c r="V12" s="1324">
        <f>[2]rapkvart!AA106</f>
        <v>-3.4</v>
      </c>
      <c r="W12" s="1324">
        <f>[2]rapkvart!AB106</f>
        <v>-9.2999999999999989</v>
      </c>
      <c r="X12" s="1324">
        <f>[2]rapkvart!AC106</f>
        <v>-7.9000000000000021</v>
      </c>
      <c r="Y12" s="1324">
        <f>[2]rapkvart!AD106</f>
        <v>-19.399999999999999</v>
      </c>
      <c r="Z12" s="1324">
        <f>[2]rapkvart!W106</f>
        <v>-3.5</v>
      </c>
      <c r="AA12" s="1324">
        <f>[2]rapkvart!X106</f>
        <v>-0.79999999999999982</v>
      </c>
      <c r="AB12" s="1324">
        <f>[2]rapkvart!Y106</f>
        <v>-16.3</v>
      </c>
      <c r="AC12" s="1324">
        <f>[2]rapkvart!Z106</f>
        <v>-19.399999999999999</v>
      </c>
      <c r="AD12" s="257"/>
      <c r="AE12" s="257"/>
      <c r="AF12" s="257"/>
      <c r="AG12" s="257"/>
      <c r="AH12" s="257"/>
      <c r="AI12" s="257"/>
      <c r="AJ12" s="257"/>
      <c r="AK12" s="785" t="str">
        <f t="shared" si="7"/>
        <v>Avvecklad verksamhet</v>
      </c>
      <c r="AL12" s="785"/>
      <c r="AM12" s="1259">
        <f t="shared" ref="AM12:AM43" si="10">AA12</f>
        <v>-0.79999999999999982</v>
      </c>
      <c r="AN12" s="1260">
        <f t="shared" ref="AN12:AN43" si="11">W12</f>
        <v>-9.2999999999999989</v>
      </c>
      <c r="AO12" s="1259">
        <f t="shared" ref="AO12:AO36" si="12">N12</f>
        <v>-4.3</v>
      </c>
      <c r="AP12" s="1260">
        <f t="shared" ref="AP12:AP36" si="13">J12</f>
        <v>-12.7</v>
      </c>
      <c r="AQ12" s="1259">
        <f t="shared" ref="AQ12:AQ36" si="14">SUM(X12:AA12)</f>
        <v>-31.6</v>
      </c>
      <c r="AR12" s="1260">
        <f t="shared" ref="AR12:AR43" si="15">L12</f>
        <v>-40</v>
      </c>
      <c r="AU12" s="1457" t="s">
        <v>545</v>
      </c>
      <c r="AV12" s="1457"/>
      <c r="AW12" s="1467">
        <f>SUM(AW9:AW11)</f>
        <v>31.2</v>
      </c>
      <c r="AX12" s="1467">
        <f>SUM(AX9:AX11)</f>
        <v>-14.4</v>
      </c>
      <c r="AY12" s="1467"/>
      <c r="AZ12" s="1467"/>
      <c r="BA12" s="1467"/>
      <c r="BB12" s="1467"/>
      <c r="BC12" s="1454"/>
      <c r="BD12" s="1464"/>
      <c r="BE12" s="1457" t="str">
        <f>+[2]rapkvart!$A130</f>
        <v>Cash flow for the period</v>
      </c>
      <c r="BF12" s="1467">
        <f t="shared" si="8"/>
        <v>31.2</v>
      </c>
      <c r="BG12" s="1467">
        <f t="shared" si="6"/>
        <v>-14.4</v>
      </c>
      <c r="BH12" s="1467">
        <f t="shared" si="6"/>
        <v>0</v>
      </c>
      <c r="BI12" s="1467">
        <f t="shared" si="6"/>
        <v>0</v>
      </c>
      <c r="BJ12" s="1467">
        <f t="shared" si="6"/>
        <v>0</v>
      </c>
      <c r="BK12" s="1467">
        <f t="shared" si="6"/>
        <v>0</v>
      </c>
      <c r="BN12" s="2243" t="str">
        <f>+[2]rapkvart!$A106</f>
        <v>Discontinued operations</v>
      </c>
      <c r="BO12" s="2243"/>
      <c r="BP12" s="2244">
        <f t="shared" ref="BP12:BS18" si="16">AM12</f>
        <v>-0.79999999999999982</v>
      </c>
      <c r="BQ12" s="2245">
        <f t="shared" si="16"/>
        <v>-9.2999999999999989</v>
      </c>
      <c r="BR12" s="2244">
        <f t="shared" si="16"/>
        <v>-4.3</v>
      </c>
      <c r="BS12" s="2245">
        <f t="shared" si="16"/>
        <v>-12.7</v>
      </c>
      <c r="BT12" s="2244">
        <f t="shared" ref="BT12:BT43" si="17">AQ12</f>
        <v>-31.6</v>
      </c>
      <c r="BU12" s="2245">
        <f t="shared" ref="BU12:BU43" si="18">AR12</f>
        <v>-40</v>
      </c>
    </row>
    <row r="13" spans="3:73" ht="9" customHeight="1" x14ac:dyDescent="0.15">
      <c r="C13" s="786" t="str">
        <f>+[2]rapkvart!$B107</f>
        <v>Resultat före skatt inklusive avvecklad verksamhet</v>
      </c>
      <c r="D13" s="786"/>
      <c r="E13" s="1325">
        <f>[2]rapkvart!S107</f>
        <v>34.600000000000044</v>
      </c>
      <c r="F13" s="1325">
        <f>[2]rapkvart!T107</f>
        <v>87.000000000000099</v>
      </c>
      <c r="G13" s="1325">
        <f>[2]rapkvart!U107</f>
        <v>110.6999999999999</v>
      </c>
      <c r="H13" s="1325">
        <f>[2]rapkvart!V107</f>
        <v>132.90000000000015</v>
      </c>
      <c r="I13" s="1325">
        <f>[2]rapkvart!O107</f>
        <v>55.500000000000064</v>
      </c>
      <c r="J13" s="1325">
        <f>[2]rapkvart!P107</f>
        <v>80.799999999999912</v>
      </c>
      <c r="K13" s="1325">
        <f>[2]rapkvart!Q107</f>
        <v>99.699999999999989</v>
      </c>
      <c r="L13" s="1325">
        <f>[2]rapkvart!R107</f>
        <v>101.7000000000001</v>
      </c>
      <c r="M13" s="1325">
        <f>[2]rapkvart!K107</f>
        <v>43.699999999999982</v>
      </c>
      <c r="N13" s="1325">
        <f>[2]rapkvart!L107</f>
        <v>131</v>
      </c>
      <c r="O13" s="1325">
        <f>[2]rapkvart!M107</f>
        <v>99.699999999999989</v>
      </c>
      <c r="P13" s="1325">
        <f>[2]rapkvart!N107</f>
        <v>101.7000000000001</v>
      </c>
      <c r="R13" s="1325">
        <f>[2]rapkvart!AE107</f>
        <v>34.600000000000044</v>
      </c>
      <c r="S13" s="1325">
        <f>[2]rapkvart!AF107</f>
        <v>52.400000000000055</v>
      </c>
      <c r="T13" s="1325">
        <f>[2]rapkvart!AG107</f>
        <v>23.699999999999804</v>
      </c>
      <c r="U13" s="1325">
        <f>[2]rapkvart!AH107</f>
        <v>22.200000000000244</v>
      </c>
      <c r="V13" s="1325">
        <f>[2]rapkvart!AA107</f>
        <v>55.500000000000064</v>
      </c>
      <c r="W13" s="1325">
        <f>[2]rapkvart!AB107</f>
        <v>25.299999999999848</v>
      </c>
      <c r="X13" s="1325">
        <f>[2]rapkvart!AC107</f>
        <v>18.900000000000077</v>
      </c>
      <c r="Y13" s="1325">
        <f>[2]rapkvart!AD107</f>
        <v>2.0000000000001137</v>
      </c>
      <c r="Z13" s="1325">
        <f>[2]rapkvart!W107</f>
        <v>43.699999999999982</v>
      </c>
      <c r="AA13" s="1325">
        <f>[2]rapkvart!X107</f>
        <v>87.300000000000011</v>
      </c>
      <c r="AB13" s="1325">
        <f>[2]rapkvart!Y107</f>
        <v>-31.300000000000011</v>
      </c>
      <c r="AC13" s="1325">
        <f>[2]rapkvart!Z107</f>
        <v>2.0000000000001137</v>
      </c>
      <c r="AD13" s="257"/>
      <c r="AE13" s="257"/>
      <c r="AF13" s="257"/>
      <c r="AG13" s="257"/>
      <c r="AH13" s="257"/>
      <c r="AI13" s="257"/>
      <c r="AJ13" s="257"/>
      <c r="AK13" s="786" t="str">
        <f t="shared" si="7"/>
        <v>Resultat före skatt inklusive avvecklad verksamhet</v>
      </c>
      <c r="AL13" s="786"/>
      <c r="AM13" s="1261">
        <f t="shared" si="10"/>
        <v>87.300000000000011</v>
      </c>
      <c r="AN13" s="1253">
        <f t="shared" si="11"/>
        <v>25.299999999999848</v>
      </c>
      <c r="AO13" s="1261">
        <f t="shared" si="12"/>
        <v>131</v>
      </c>
      <c r="AP13" s="1253">
        <f t="shared" si="13"/>
        <v>80.799999999999912</v>
      </c>
      <c r="AQ13" s="1261">
        <f t="shared" si="14"/>
        <v>151.90000000000018</v>
      </c>
      <c r="AR13" s="1253">
        <f t="shared" si="15"/>
        <v>101.7000000000001</v>
      </c>
      <c r="BN13" s="2246" t="str">
        <f>+[2]rapkvart!$A107</f>
        <v>Income after financial items including discontinued operations</v>
      </c>
      <c r="BO13" s="2246"/>
      <c r="BP13" s="2247">
        <f t="shared" si="16"/>
        <v>87.300000000000011</v>
      </c>
      <c r="BQ13" s="2248">
        <f t="shared" si="16"/>
        <v>25.299999999999848</v>
      </c>
      <c r="BR13" s="2247">
        <f t="shared" si="16"/>
        <v>131</v>
      </c>
      <c r="BS13" s="2248">
        <f t="shared" si="16"/>
        <v>80.799999999999912</v>
      </c>
      <c r="BT13" s="2247">
        <f t="shared" si="17"/>
        <v>151.90000000000018</v>
      </c>
      <c r="BU13" s="2248">
        <f t="shared" si="18"/>
        <v>101.7000000000001</v>
      </c>
    </row>
    <row r="14" spans="3:73" ht="9" customHeight="1" x14ac:dyDescent="0.15">
      <c r="C14" s="472" t="str">
        <f>+[2]rapkvart!$B108</f>
        <v>Av- och nedskrivningar</v>
      </c>
      <c r="D14" s="472"/>
      <c r="E14" s="1316">
        <f>[2]rapkvart!S108</f>
        <v>22.9</v>
      </c>
      <c r="F14" s="1316">
        <f>[2]rapkvart!T108</f>
        <v>46.4</v>
      </c>
      <c r="G14" s="1316">
        <f>[2]rapkvart!U108</f>
        <v>69.399999999999991</v>
      </c>
      <c r="H14" s="1316">
        <f>[2]rapkvart!V108</f>
        <v>91.399999999999991</v>
      </c>
      <c r="I14" s="1316">
        <f>[2]rapkvart!O108</f>
        <v>21.9</v>
      </c>
      <c r="J14" s="1316">
        <f>[2]rapkvart!P108</f>
        <v>44.699999999999996</v>
      </c>
      <c r="K14" s="1316">
        <f>[2]rapkvart!Q108</f>
        <v>66.900000000000006</v>
      </c>
      <c r="L14" s="1316">
        <f>[2]rapkvart!R108</f>
        <v>88.7</v>
      </c>
      <c r="M14" s="1316">
        <f>[2]rapkvart!K108</f>
        <v>22.000000000000004</v>
      </c>
      <c r="N14" s="1316">
        <f>[2]rapkvart!L108</f>
        <v>43.7</v>
      </c>
      <c r="O14" s="1316">
        <f>[2]rapkvart!M108</f>
        <v>66.900000000000006</v>
      </c>
      <c r="P14" s="1316">
        <f>[2]rapkvart!N108</f>
        <v>88.7</v>
      </c>
      <c r="R14" s="1316">
        <f>[2]rapkvart!AE108</f>
        <v>22.9</v>
      </c>
      <c r="S14" s="1316">
        <f>[2]rapkvart!AF108</f>
        <v>23.5</v>
      </c>
      <c r="T14" s="1316">
        <f>[2]rapkvart!AG108</f>
        <v>22.999999999999993</v>
      </c>
      <c r="U14" s="1316">
        <f>[2]rapkvart!AH108</f>
        <v>22</v>
      </c>
      <c r="V14" s="1316">
        <f>[2]rapkvart!AA108</f>
        <v>21.9</v>
      </c>
      <c r="W14" s="1316">
        <f>[2]rapkvart!AB108</f>
        <v>22.799999999999997</v>
      </c>
      <c r="X14" s="1316">
        <f>[2]rapkvart!AC108</f>
        <v>22.20000000000001</v>
      </c>
      <c r="Y14" s="1316">
        <f>[2]rapkvart!AD108</f>
        <v>21.799999999999997</v>
      </c>
      <c r="Z14" s="1316">
        <f>[2]rapkvart!W108</f>
        <v>22.000000000000004</v>
      </c>
      <c r="AA14" s="1316">
        <f>[2]rapkvart!X108</f>
        <v>21.7</v>
      </c>
      <c r="AB14" s="1316">
        <f>[2]rapkvart!Y108</f>
        <v>23.200000000000003</v>
      </c>
      <c r="AC14" s="1316">
        <f>[2]rapkvart!Z108</f>
        <v>21.799999999999997</v>
      </c>
      <c r="AD14" s="257"/>
      <c r="AE14" s="257"/>
      <c r="AF14" s="257"/>
      <c r="AG14" s="257"/>
      <c r="AH14" s="257"/>
      <c r="AI14" s="257"/>
      <c r="AJ14" s="257"/>
      <c r="AK14" s="472" t="str">
        <f t="shared" si="7"/>
        <v>Av- och nedskrivningar</v>
      </c>
      <c r="AL14" s="472"/>
      <c r="AM14" s="1258">
        <f t="shared" si="10"/>
        <v>21.7</v>
      </c>
      <c r="AN14" s="1251">
        <f t="shared" si="11"/>
        <v>22.799999999999997</v>
      </c>
      <c r="AO14" s="1258">
        <f t="shared" si="12"/>
        <v>43.7</v>
      </c>
      <c r="AP14" s="1251">
        <f t="shared" si="13"/>
        <v>44.699999999999996</v>
      </c>
      <c r="AQ14" s="1258">
        <f t="shared" si="14"/>
        <v>87.700000000000017</v>
      </c>
      <c r="AR14" s="1251">
        <f t="shared" si="15"/>
        <v>88.7</v>
      </c>
      <c r="BN14" s="1593" t="str">
        <f>+[2]rapkvart!$A108</f>
        <v>Depreciation and write-down</v>
      </c>
      <c r="BO14" s="472"/>
      <c r="BP14" s="2242">
        <f t="shared" si="16"/>
        <v>21.7</v>
      </c>
      <c r="BQ14" s="1731">
        <f t="shared" si="16"/>
        <v>22.799999999999997</v>
      </c>
      <c r="BR14" s="2242">
        <f t="shared" si="16"/>
        <v>43.7</v>
      </c>
      <c r="BS14" s="1731">
        <f t="shared" si="16"/>
        <v>44.699999999999996</v>
      </c>
      <c r="BT14" s="2242">
        <f t="shared" si="17"/>
        <v>87.700000000000017</v>
      </c>
      <c r="BU14" s="1731">
        <f t="shared" si="18"/>
        <v>88.7</v>
      </c>
    </row>
    <row r="15" spans="3:73" ht="9" customHeight="1" x14ac:dyDescent="0.15">
      <c r="C15" s="787" t="str">
        <f>+[2]rapkvart!$B109</f>
        <v>Övriga ej kassaflödespåverkande poster</v>
      </c>
      <c r="D15" s="472"/>
      <c r="E15" s="1323">
        <f>[2]rapkvart!S109</f>
        <v>9.9</v>
      </c>
      <c r="F15" s="1323">
        <f>[2]rapkvart!T109</f>
        <v>12.9</v>
      </c>
      <c r="G15" s="1323">
        <f>[2]rapkvart!U109</f>
        <v>25.7</v>
      </c>
      <c r="H15" s="1323">
        <f>[2]rapkvart!V109</f>
        <v>33.1</v>
      </c>
      <c r="I15" s="1323">
        <f>[2]rapkvart!O109</f>
        <v>1.7</v>
      </c>
      <c r="J15" s="1323">
        <f>[2]rapkvart!P109</f>
        <v>13.4</v>
      </c>
      <c r="K15" s="1323">
        <f>[2]rapkvart!Q109</f>
        <v>13.2</v>
      </c>
      <c r="L15" s="1323">
        <f>[2]rapkvart!R109</f>
        <v>9.1999999999999993</v>
      </c>
      <c r="M15" s="1323">
        <f>[2]rapkvart!K109</f>
        <v>4.5</v>
      </c>
      <c r="N15" s="1323">
        <f>[2]rapkvart!L109</f>
        <v>0</v>
      </c>
      <c r="O15" s="1323">
        <f>[2]rapkvart!M109</f>
        <v>13.2</v>
      </c>
      <c r="P15" s="1323">
        <f>[2]rapkvart!N109</f>
        <v>9.1999999999999993</v>
      </c>
      <c r="R15" s="1323">
        <f>[2]rapkvart!AE109</f>
        <v>9.9</v>
      </c>
      <c r="S15" s="1323">
        <f>[2]rapkvart!AF109</f>
        <v>3</v>
      </c>
      <c r="T15" s="1323">
        <f>[2]rapkvart!AG109</f>
        <v>12.799999999999999</v>
      </c>
      <c r="U15" s="1323">
        <f>[2]rapkvart!AH109</f>
        <v>7.4000000000000021</v>
      </c>
      <c r="V15" s="1323">
        <f>[2]rapkvart!AA109</f>
        <v>1.7</v>
      </c>
      <c r="W15" s="1323">
        <f>[2]rapkvart!AB109</f>
        <v>11.700000000000001</v>
      </c>
      <c r="X15" s="1323">
        <f>[2]rapkvart!AC109</f>
        <v>-0.20000000000000107</v>
      </c>
      <c r="Y15" s="1323">
        <f>[2]rapkvart!AD109</f>
        <v>-4</v>
      </c>
      <c r="Z15" s="1323">
        <f>[2]rapkvart!W109</f>
        <v>4.5</v>
      </c>
      <c r="AA15" s="1323">
        <f>[2]rapkvart!X109</f>
        <v>-4.5</v>
      </c>
      <c r="AB15" s="1323">
        <f>[2]rapkvart!Y109</f>
        <v>13.2</v>
      </c>
      <c r="AC15" s="1323">
        <f>[2]rapkvart!Z109</f>
        <v>-4</v>
      </c>
      <c r="AD15" s="257"/>
      <c r="AE15" s="257"/>
      <c r="AF15" s="257"/>
      <c r="AG15" s="257"/>
      <c r="AH15" s="257"/>
      <c r="AI15" s="257"/>
      <c r="AJ15" s="257"/>
      <c r="AK15" s="787" t="str">
        <f t="shared" si="7"/>
        <v>Övriga ej kassaflödespåverkande poster</v>
      </c>
      <c r="AL15" s="472"/>
      <c r="AM15" s="1256">
        <f t="shared" si="10"/>
        <v>-4.5</v>
      </c>
      <c r="AN15" s="1257">
        <f t="shared" si="11"/>
        <v>11.700000000000001</v>
      </c>
      <c r="AO15" s="1256">
        <f t="shared" si="12"/>
        <v>0</v>
      </c>
      <c r="AP15" s="1257">
        <f t="shared" si="13"/>
        <v>13.4</v>
      </c>
      <c r="AQ15" s="1256">
        <f t="shared" si="14"/>
        <v>-4.2000000000000011</v>
      </c>
      <c r="AR15" s="1257">
        <f t="shared" si="15"/>
        <v>9.1999999999999993</v>
      </c>
      <c r="BN15" s="2249" t="str">
        <f>+[2]rapkvart!$A109</f>
        <v>Adjustment for other non-cash items</v>
      </c>
      <c r="BO15" s="1593"/>
      <c r="BP15" s="2250">
        <f t="shared" si="16"/>
        <v>-4.5</v>
      </c>
      <c r="BQ15" s="2251">
        <f t="shared" si="16"/>
        <v>11.700000000000001</v>
      </c>
      <c r="BR15" s="2250">
        <f t="shared" si="16"/>
        <v>0</v>
      </c>
      <c r="BS15" s="2251">
        <f t="shared" si="16"/>
        <v>13.4</v>
      </c>
      <c r="BT15" s="2250">
        <f t="shared" si="17"/>
        <v>-4.2000000000000011</v>
      </c>
      <c r="BU15" s="2251">
        <f t="shared" si="18"/>
        <v>9.1999999999999993</v>
      </c>
    </row>
    <row r="16" spans="3:73" ht="9" customHeight="1" x14ac:dyDescent="0.15">
      <c r="C16" s="787" t="str">
        <f>+[2]rapkvart!$B110</f>
        <v>Erhållen/Erlagd ränta</v>
      </c>
      <c r="D16" s="472"/>
      <c r="E16" s="1323">
        <f>[2]rapkvart!S110</f>
        <v>-3.5</v>
      </c>
      <c r="F16" s="1323">
        <f>[2]rapkvart!T110</f>
        <v>-7.7</v>
      </c>
      <c r="G16" s="1323">
        <f>[2]rapkvart!U110</f>
        <v>-12</v>
      </c>
      <c r="H16" s="1323">
        <f>[2]rapkvart!V110</f>
        <v>-18.7</v>
      </c>
      <c r="I16" s="1323">
        <f>[2]rapkvart!O110</f>
        <v>-1.9</v>
      </c>
      <c r="J16" s="1323">
        <f>[2]rapkvart!P110</f>
        <v>-9.6999999999999993</v>
      </c>
      <c r="K16" s="1323">
        <f>[2]rapkvart!Q110</f>
        <v>-13.2</v>
      </c>
      <c r="L16" s="1323">
        <f>[2]rapkvart!R110</f>
        <v>-18.100000000000001</v>
      </c>
      <c r="M16" s="1323">
        <f>[2]rapkvart!K110</f>
        <v>-4.2</v>
      </c>
      <c r="N16" s="1323">
        <f>[2]rapkvart!L110</f>
        <v>-11.1</v>
      </c>
      <c r="O16" s="1323">
        <f>[2]rapkvart!M110</f>
        <v>-13.2</v>
      </c>
      <c r="P16" s="1323">
        <f>[2]rapkvart!N110</f>
        <v>-18.100000000000001</v>
      </c>
      <c r="R16" s="1323">
        <f>[2]rapkvart!AE110</f>
        <v>-3.5</v>
      </c>
      <c r="S16" s="1323">
        <f>[2]rapkvart!AF110</f>
        <v>-4.2</v>
      </c>
      <c r="T16" s="1323">
        <f>[2]rapkvart!AG110</f>
        <v>-4.3</v>
      </c>
      <c r="U16" s="1323">
        <f>[2]rapkvart!AH110</f>
        <v>-6.6999999999999993</v>
      </c>
      <c r="V16" s="1323">
        <f>[2]rapkvart!AA110</f>
        <v>-1.9</v>
      </c>
      <c r="W16" s="1323">
        <f>[2]rapkvart!AB110</f>
        <v>-7.7999999999999989</v>
      </c>
      <c r="X16" s="1323">
        <f>[2]rapkvart!AC110</f>
        <v>-3.5</v>
      </c>
      <c r="Y16" s="1323">
        <f>[2]rapkvart!AD110</f>
        <v>-4.9000000000000021</v>
      </c>
      <c r="Z16" s="1323">
        <f>[2]rapkvart!W110</f>
        <v>-4.2</v>
      </c>
      <c r="AA16" s="1323">
        <f>[2]rapkvart!X110</f>
        <v>-6.8999999999999995</v>
      </c>
      <c r="AB16" s="1323">
        <f>[2]rapkvart!Y110</f>
        <v>-2.0999999999999996</v>
      </c>
      <c r="AC16" s="1323">
        <f>[2]rapkvart!Z110</f>
        <v>-4.9000000000000021</v>
      </c>
      <c r="AD16" s="257"/>
      <c r="AE16" s="257"/>
      <c r="AF16" s="257"/>
      <c r="AG16" s="257"/>
      <c r="AH16" s="257"/>
      <c r="AI16" s="257"/>
      <c r="AJ16" s="257"/>
      <c r="AK16" s="787" t="str">
        <f t="shared" si="7"/>
        <v>Erhållen/Erlagd ränta</v>
      </c>
      <c r="AL16" s="472"/>
      <c r="AM16" s="1256">
        <f t="shared" si="10"/>
        <v>-6.8999999999999995</v>
      </c>
      <c r="AN16" s="1257">
        <f t="shared" si="11"/>
        <v>-7.7999999999999989</v>
      </c>
      <c r="AO16" s="1256">
        <f t="shared" si="12"/>
        <v>-11.1</v>
      </c>
      <c r="AP16" s="1257">
        <f t="shared" si="13"/>
        <v>-9.6999999999999993</v>
      </c>
      <c r="AQ16" s="1256">
        <f t="shared" si="14"/>
        <v>-19.5</v>
      </c>
      <c r="AR16" s="1257">
        <f t="shared" si="15"/>
        <v>-18.100000000000001</v>
      </c>
      <c r="BN16" s="2249" t="str">
        <f>+[2]rapkvart!$A110</f>
        <v>Interest received/paid</v>
      </c>
      <c r="BO16" s="1593"/>
      <c r="BP16" s="2250">
        <f t="shared" si="16"/>
        <v>-6.8999999999999995</v>
      </c>
      <c r="BQ16" s="2251">
        <f t="shared" si="16"/>
        <v>-7.7999999999999989</v>
      </c>
      <c r="BR16" s="2250">
        <f t="shared" si="16"/>
        <v>-11.1</v>
      </c>
      <c r="BS16" s="2251">
        <f t="shared" si="16"/>
        <v>-9.6999999999999993</v>
      </c>
      <c r="BT16" s="2250">
        <f t="shared" si="17"/>
        <v>-19.5</v>
      </c>
      <c r="BU16" s="2251">
        <f t="shared" si="18"/>
        <v>-18.100000000000001</v>
      </c>
    </row>
    <row r="17" spans="3:73" ht="9" customHeight="1" x14ac:dyDescent="0.15">
      <c r="C17" s="772" t="str">
        <f>+[2]rapkvart!$B111</f>
        <v>Betald skatt</v>
      </c>
      <c r="D17" s="772"/>
      <c r="E17" s="1326">
        <f>[2]rapkvart!S111</f>
        <v>-10.1</v>
      </c>
      <c r="F17" s="1326">
        <f>[2]rapkvart!T111</f>
        <v>-19.100000000000001</v>
      </c>
      <c r="G17" s="1326">
        <f>[2]rapkvart!U111</f>
        <v>-24.5</v>
      </c>
      <c r="H17" s="1326">
        <f>[2]rapkvart!V111</f>
        <v>-17.7</v>
      </c>
      <c r="I17" s="1326">
        <f>[2]rapkvart!O111</f>
        <v>-16.100000000000001</v>
      </c>
      <c r="J17" s="1326">
        <f>[2]rapkvart!P111</f>
        <v>-24.7</v>
      </c>
      <c r="K17" s="1326">
        <f>[2]rapkvart!Q111</f>
        <v>-24.4</v>
      </c>
      <c r="L17" s="1326">
        <f>[2]rapkvart!R111</f>
        <v>-44.5</v>
      </c>
      <c r="M17" s="1326">
        <f>[2]rapkvart!K111</f>
        <v>-3.6</v>
      </c>
      <c r="N17" s="1326">
        <f>[2]rapkvart!L111</f>
        <v>2</v>
      </c>
      <c r="O17" s="1326">
        <f>[2]rapkvart!M111</f>
        <v>-24.4</v>
      </c>
      <c r="P17" s="1326">
        <f>[2]rapkvart!N111</f>
        <v>-44.5</v>
      </c>
      <c r="R17" s="1326">
        <f>[2]rapkvart!AE111</f>
        <v>-10.1</v>
      </c>
      <c r="S17" s="1326">
        <f>[2]rapkvart!AF111</f>
        <v>-9.0000000000000018</v>
      </c>
      <c r="T17" s="1326">
        <f>[2]rapkvart!AG111</f>
        <v>-5.3999999999999986</v>
      </c>
      <c r="U17" s="1326">
        <f>[2]rapkvart!AH111</f>
        <v>6.8000000000000007</v>
      </c>
      <c r="V17" s="1326">
        <f>[2]rapkvart!AA111</f>
        <v>-16.100000000000001</v>
      </c>
      <c r="W17" s="1326">
        <f>[2]rapkvart!AB111</f>
        <v>-8.5999999999999979</v>
      </c>
      <c r="X17" s="1326">
        <f>[2]rapkvart!AC111</f>
        <v>0.30000000000000071</v>
      </c>
      <c r="Y17" s="1326">
        <f>[2]rapkvart!AD111</f>
        <v>-20.100000000000001</v>
      </c>
      <c r="Z17" s="1326">
        <f>[2]rapkvart!W111</f>
        <v>-3.6</v>
      </c>
      <c r="AA17" s="1326">
        <f>[2]rapkvart!X111</f>
        <v>5.6</v>
      </c>
      <c r="AB17" s="1326">
        <f>[2]rapkvart!Y111</f>
        <v>-26.4</v>
      </c>
      <c r="AC17" s="1326">
        <f>[2]rapkvart!Z111</f>
        <v>-20.100000000000001</v>
      </c>
      <c r="AD17" s="257"/>
      <c r="AE17" s="257"/>
      <c r="AF17" s="257"/>
      <c r="AG17" s="257"/>
      <c r="AH17" s="257"/>
      <c r="AI17" s="257"/>
      <c r="AJ17" s="257"/>
      <c r="AK17" s="785" t="str">
        <f t="shared" si="7"/>
        <v>Betald skatt</v>
      </c>
      <c r="AL17" s="785"/>
      <c r="AM17" s="1259">
        <f t="shared" si="10"/>
        <v>5.6</v>
      </c>
      <c r="AN17" s="1260">
        <f t="shared" si="11"/>
        <v>-8.5999999999999979</v>
      </c>
      <c r="AO17" s="1259">
        <f t="shared" si="12"/>
        <v>2</v>
      </c>
      <c r="AP17" s="1260">
        <f t="shared" si="13"/>
        <v>-24.7</v>
      </c>
      <c r="AQ17" s="1259">
        <f t="shared" si="14"/>
        <v>-17.800000000000004</v>
      </c>
      <c r="AR17" s="1260">
        <f t="shared" si="15"/>
        <v>-44.5</v>
      </c>
      <c r="BN17" s="2243" t="str">
        <f>+[2]rapkvart!$A111</f>
        <v>Paid income tax</v>
      </c>
      <c r="BO17" s="2243"/>
      <c r="BP17" s="2244">
        <f t="shared" si="16"/>
        <v>5.6</v>
      </c>
      <c r="BQ17" s="2245">
        <f t="shared" si="16"/>
        <v>-8.5999999999999979</v>
      </c>
      <c r="BR17" s="2244">
        <f t="shared" si="16"/>
        <v>2</v>
      </c>
      <c r="BS17" s="2245">
        <f t="shared" si="16"/>
        <v>-24.7</v>
      </c>
      <c r="BT17" s="2244">
        <f t="shared" si="17"/>
        <v>-17.800000000000004</v>
      </c>
      <c r="BU17" s="2245">
        <f t="shared" si="18"/>
        <v>-44.5</v>
      </c>
    </row>
    <row r="18" spans="3:73" ht="9" customHeight="1" x14ac:dyDescent="0.15">
      <c r="C18" s="257" t="str">
        <f>+[2]rapkvart!$B112</f>
        <v>Kassaflöde före förändringar av rörelsekapitalet</v>
      </c>
      <c r="D18" s="257"/>
      <c r="E18" s="1327">
        <f>[2]rapkvart!S112</f>
        <v>53.800000000000047</v>
      </c>
      <c r="F18" s="1327">
        <f>[2]rapkvart!T112</f>
        <v>119.50000000000011</v>
      </c>
      <c r="G18" s="1327">
        <f>[2]rapkvart!U112</f>
        <v>169.2999999999999</v>
      </c>
      <c r="H18" s="1327">
        <f>[2]rapkvart!V112</f>
        <v>221.00000000000017</v>
      </c>
      <c r="I18" s="1327">
        <f>[2]rapkvart!O112</f>
        <v>61.100000000000058</v>
      </c>
      <c r="J18" s="1327">
        <f>[2]rapkvart!P112</f>
        <v>104.49999999999993</v>
      </c>
      <c r="K18" s="1327">
        <f>[2]rapkvart!Q112</f>
        <v>142.19999999999999</v>
      </c>
      <c r="L18" s="1327">
        <f>[2]rapkvart!R112</f>
        <v>137.00000000000009</v>
      </c>
      <c r="M18" s="1327">
        <f>[2]rapkvart!K112</f>
        <v>62.399999999999984</v>
      </c>
      <c r="N18" s="1327">
        <f>[2]rapkvart!L112</f>
        <v>165.6</v>
      </c>
      <c r="O18" s="1327">
        <f>[2]rapkvart!M112</f>
        <v>142.19999999999999</v>
      </c>
      <c r="P18" s="1327">
        <f>[2]rapkvart!N112</f>
        <v>137.00000000000009</v>
      </c>
      <c r="R18" s="1327">
        <f>[2]rapkvart!AE112</f>
        <v>53.800000000000047</v>
      </c>
      <c r="S18" s="1327">
        <f>[2]rapkvart!AF112</f>
        <v>65.70000000000006</v>
      </c>
      <c r="T18" s="1327">
        <f>[2]rapkvart!AG112</f>
        <v>49.799999999999798</v>
      </c>
      <c r="U18" s="1327">
        <f>[2]rapkvart!AH112</f>
        <v>51.700000000000244</v>
      </c>
      <c r="V18" s="1327">
        <f>[2]rapkvart!AA112</f>
        <v>61.100000000000058</v>
      </c>
      <c r="W18" s="1327">
        <f>[2]rapkvart!AB112</f>
        <v>43.399999999999849</v>
      </c>
      <c r="X18" s="1327">
        <f>[2]rapkvart!AC112</f>
        <v>37.700000000000088</v>
      </c>
      <c r="Y18" s="1327">
        <f>[2]rapkvart!AD112</f>
        <v>-5.1999999999998927</v>
      </c>
      <c r="Z18" s="1327">
        <f>[2]rapkvart!W112</f>
        <v>62.399999999999984</v>
      </c>
      <c r="AA18" s="1327">
        <f>[2]rapkvart!X112</f>
        <v>103.2</v>
      </c>
      <c r="AB18" s="1327">
        <f>[2]rapkvart!Y112</f>
        <v>-23.400000000000006</v>
      </c>
      <c r="AC18" s="1327">
        <f>[2]rapkvart!Z112</f>
        <v>-5.1999999999998927</v>
      </c>
      <c r="AD18" s="257"/>
      <c r="AE18" s="257"/>
      <c r="AF18" s="257"/>
      <c r="AG18" s="257"/>
      <c r="AH18" s="257"/>
      <c r="AI18" s="257"/>
      <c r="AJ18" s="257"/>
      <c r="AK18" s="257" t="str">
        <f t="shared" si="7"/>
        <v>Kassaflöde före förändringar av rörelsekapitalet</v>
      </c>
      <c r="AL18" s="257"/>
      <c r="AM18" s="1262">
        <f t="shared" si="10"/>
        <v>103.2</v>
      </c>
      <c r="AN18" s="960">
        <f t="shared" si="11"/>
        <v>43.399999999999849</v>
      </c>
      <c r="AO18" s="1262">
        <f t="shared" si="12"/>
        <v>165.6</v>
      </c>
      <c r="AP18" s="960">
        <f t="shared" si="13"/>
        <v>104.49999999999993</v>
      </c>
      <c r="AQ18" s="1262">
        <f t="shared" si="14"/>
        <v>198.10000000000019</v>
      </c>
      <c r="AR18" s="960">
        <f t="shared" si="15"/>
        <v>137.00000000000009</v>
      </c>
      <c r="BN18" s="2236" t="str">
        <f>+[2]rapkvart!$A112</f>
        <v>Cash flow prior to change in working capital</v>
      </c>
      <c r="BO18" s="2236"/>
      <c r="BP18" s="2252">
        <f t="shared" si="16"/>
        <v>103.2</v>
      </c>
      <c r="BQ18" s="2253">
        <f t="shared" si="16"/>
        <v>43.399999999999849</v>
      </c>
      <c r="BR18" s="2252">
        <f t="shared" si="16"/>
        <v>165.6</v>
      </c>
      <c r="BS18" s="2253">
        <f t="shared" si="16"/>
        <v>104.49999999999993</v>
      </c>
      <c r="BT18" s="2252">
        <f t="shared" si="17"/>
        <v>198.10000000000019</v>
      </c>
      <c r="BU18" s="2253">
        <f t="shared" si="18"/>
        <v>137.00000000000009</v>
      </c>
    </row>
    <row r="19" spans="3:73" ht="9" customHeight="1" x14ac:dyDescent="0.15">
      <c r="E19" s="1328">
        <f>[2]rapkvart!S113</f>
        <v>0</v>
      </c>
      <c r="F19" s="1328">
        <f>[2]rapkvart!T113</f>
        <v>0</v>
      </c>
      <c r="G19" s="1328">
        <f>[2]rapkvart!U113</f>
        <v>0</v>
      </c>
      <c r="H19" s="1328">
        <f>[2]rapkvart!V113</f>
        <v>0</v>
      </c>
      <c r="I19" s="1328">
        <f>[2]rapkvart!O113</f>
        <v>0</v>
      </c>
      <c r="J19" s="1328">
        <f>[2]rapkvart!P113</f>
        <v>0</v>
      </c>
      <c r="K19" s="1328">
        <f>[2]rapkvart!Q113</f>
        <v>0</v>
      </c>
      <c r="L19" s="1328">
        <f>[2]rapkvart!R113</f>
        <v>0</v>
      </c>
      <c r="M19" s="1328">
        <f>[2]rapkvart!K113</f>
        <v>0</v>
      </c>
      <c r="N19" s="1328">
        <f>[2]rapkvart!L113</f>
        <v>0</v>
      </c>
      <c r="O19" s="1328">
        <f>[2]rapkvart!M113</f>
        <v>0</v>
      </c>
      <c r="P19" s="1328">
        <f>[2]rapkvart!N113</f>
        <v>0</v>
      </c>
      <c r="R19" s="1328">
        <f>[2]rapkvart!AE113</f>
        <v>0</v>
      </c>
      <c r="S19" s="1328">
        <f>[2]rapkvart!AF113</f>
        <v>0</v>
      </c>
      <c r="T19" s="1328">
        <f>[2]rapkvart!AG113</f>
        <v>0</v>
      </c>
      <c r="U19" s="1328">
        <f>[2]rapkvart!AH113</f>
        <v>0</v>
      </c>
      <c r="V19" s="1328">
        <f>[2]rapkvart!AA113</f>
        <v>0</v>
      </c>
      <c r="W19" s="1328">
        <f>[2]rapkvart!AB113</f>
        <v>0</v>
      </c>
      <c r="X19" s="1328">
        <f>[2]rapkvart!AC113</f>
        <v>0</v>
      </c>
      <c r="Y19" s="1328">
        <f>[2]rapkvart!AD113</f>
        <v>0</v>
      </c>
      <c r="Z19" s="1328">
        <f>[2]rapkvart!W113</f>
        <v>0</v>
      </c>
      <c r="AA19" s="1328">
        <f>[2]rapkvart!X113</f>
        <v>0</v>
      </c>
      <c r="AB19" s="1328">
        <f>[2]rapkvart!Y113</f>
        <v>0</v>
      </c>
      <c r="AC19" s="1328">
        <f>[2]rapkvart!Z113</f>
        <v>0</v>
      </c>
      <c r="AD19" s="257"/>
      <c r="AE19" s="257"/>
      <c r="AF19" s="257"/>
      <c r="AG19" s="257"/>
      <c r="AH19" s="257"/>
      <c r="AI19" s="257"/>
      <c r="AJ19" s="257"/>
      <c r="AM19" s="1263"/>
      <c r="AN19" s="1252"/>
      <c r="AO19" s="1263"/>
      <c r="AP19" s="1252"/>
      <c r="AQ19" s="1263"/>
      <c r="AR19" s="1252"/>
      <c r="BN19" s="1720"/>
      <c r="BO19" s="1720"/>
      <c r="BP19" s="2238"/>
      <c r="BQ19" s="2239"/>
      <c r="BR19" s="2238"/>
      <c r="BS19" s="2239"/>
      <c r="BT19" s="2238">
        <f t="shared" si="17"/>
        <v>0</v>
      </c>
      <c r="BU19" s="2239">
        <f t="shared" si="18"/>
        <v>0</v>
      </c>
    </row>
    <row r="20" spans="3:73" ht="9" customHeight="1" x14ac:dyDescent="0.15">
      <c r="C20" s="472" t="str">
        <f>+[2]rapkvart!$B114</f>
        <v>Varulager</v>
      </c>
      <c r="D20" s="472"/>
      <c r="E20" s="1316">
        <f>[2]rapkvart!S114</f>
        <v>29.5</v>
      </c>
      <c r="F20" s="1316">
        <f>[2]rapkvart!T114</f>
        <v>31.3</v>
      </c>
      <c r="G20" s="1316">
        <f>[2]rapkvart!U114</f>
        <v>8.3000000000000007</v>
      </c>
      <c r="H20" s="1316">
        <f>[2]rapkvart!V114</f>
        <v>25.6</v>
      </c>
      <c r="I20" s="1316">
        <f>[2]rapkvart!O114</f>
        <v>-22.2</v>
      </c>
      <c r="J20" s="1316">
        <f>[2]rapkvart!P114</f>
        <v>-19.7</v>
      </c>
      <c r="K20" s="1316">
        <f>[2]rapkvart!Q114</f>
        <v>-27.1</v>
      </c>
      <c r="L20" s="1316">
        <f>[2]rapkvart!R114</f>
        <v>-7.5</v>
      </c>
      <c r="M20" s="1316">
        <f>[2]rapkvart!K114</f>
        <v>24</v>
      </c>
      <c r="N20" s="1316">
        <f>[2]rapkvart!L114</f>
        <v>-18.5</v>
      </c>
      <c r="O20" s="1316">
        <f>[2]rapkvart!M114</f>
        <v>-27.1</v>
      </c>
      <c r="P20" s="1316">
        <f>[2]rapkvart!N114</f>
        <v>-7.5</v>
      </c>
      <c r="R20" s="1316">
        <f>[2]rapkvart!AE114</f>
        <v>29.5</v>
      </c>
      <c r="S20" s="1316">
        <f>[2]rapkvart!AF114</f>
        <v>1.8000000000000007</v>
      </c>
      <c r="T20" s="1316">
        <f>[2]rapkvart!AG114</f>
        <v>-23</v>
      </c>
      <c r="U20" s="1316">
        <f>[2]rapkvart!AH114</f>
        <v>17.3</v>
      </c>
      <c r="V20" s="1316">
        <f>[2]rapkvart!AA114</f>
        <v>-22.2</v>
      </c>
      <c r="W20" s="1316">
        <f>[2]rapkvart!AB114</f>
        <v>2.5</v>
      </c>
      <c r="X20" s="1316">
        <f>[2]rapkvart!AC114</f>
        <v>-7.4000000000000021</v>
      </c>
      <c r="Y20" s="1316">
        <f>[2]rapkvart!AD114</f>
        <v>19.600000000000001</v>
      </c>
      <c r="Z20" s="1316">
        <f>[2]rapkvart!W114</f>
        <v>24</v>
      </c>
      <c r="AA20" s="1316">
        <f>[2]rapkvart!X114</f>
        <v>-42.5</v>
      </c>
      <c r="AB20" s="1316">
        <f>[2]rapkvart!Y114</f>
        <v>-8.6000000000000014</v>
      </c>
      <c r="AC20" s="1316">
        <f>[2]rapkvart!Z114</f>
        <v>19.600000000000001</v>
      </c>
      <c r="AD20" s="257"/>
      <c r="AE20" s="257"/>
      <c r="AF20" s="257"/>
      <c r="AG20" s="257"/>
      <c r="AH20" s="257"/>
      <c r="AI20" s="257"/>
      <c r="AJ20" s="257"/>
      <c r="AK20" s="472" t="str">
        <f t="shared" si="7"/>
        <v>Varulager</v>
      </c>
      <c r="AL20" s="472"/>
      <c r="AM20" s="1258">
        <f t="shared" si="10"/>
        <v>-42.5</v>
      </c>
      <c r="AN20" s="1251">
        <f t="shared" si="11"/>
        <v>2.5</v>
      </c>
      <c r="AO20" s="1258">
        <f t="shared" si="12"/>
        <v>-18.5</v>
      </c>
      <c r="AP20" s="1251">
        <f t="shared" si="13"/>
        <v>-19.7</v>
      </c>
      <c r="AQ20" s="1258">
        <f t="shared" si="14"/>
        <v>-6.2999999999999972</v>
      </c>
      <c r="AR20" s="1251">
        <f t="shared" si="15"/>
        <v>-7.5</v>
      </c>
      <c r="BN20" s="1593" t="str">
        <f>+[2]rapkvart!$A114</f>
        <v>Inventories</v>
      </c>
      <c r="BO20" s="1593"/>
      <c r="BP20" s="2242">
        <f t="shared" ref="BP20:BS23" si="19">AM20</f>
        <v>-42.5</v>
      </c>
      <c r="BQ20" s="1731">
        <f t="shared" si="19"/>
        <v>2.5</v>
      </c>
      <c r="BR20" s="2242">
        <f t="shared" si="19"/>
        <v>-18.5</v>
      </c>
      <c r="BS20" s="1731">
        <f t="shared" si="19"/>
        <v>-19.7</v>
      </c>
      <c r="BT20" s="2242">
        <f t="shared" si="17"/>
        <v>-6.2999999999999972</v>
      </c>
      <c r="BU20" s="1731">
        <f t="shared" si="18"/>
        <v>-7.5</v>
      </c>
    </row>
    <row r="21" spans="3:73" ht="9" customHeight="1" x14ac:dyDescent="0.15">
      <c r="C21" s="787" t="str">
        <f>+[2]rapkvart!$B115</f>
        <v>Rörelsefordringar</v>
      </c>
      <c r="D21" s="472"/>
      <c r="E21" s="1323">
        <f>[2]rapkvart!S115</f>
        <v>-62.3</v>
      </c>
      <c r="F21" s="1323">
        <f>[2]rapkvart!T115</f>
        <v>-69.599999999999994</v>
      </c>
      <c r="G21" s="1323">
        <f>[2]rapkvart!U115</f>
        <v>-60.3</v>
      </c>
      <c r="H21" s="1323">
        <f>[2]rapkvart!V115</f>
        <v>-12.3</v>
      </c>
      <c r="I21" s="1323">
        <f>[2]rapkvart!O115</f>
        <v>-99.8</v>
      </c>
      <c r="J21" s="1323">
        <f>[2]rapkvart!P115</f>
        <v>-134.1</v>
      </c>
      <c r="K21" s="1323">
        <f>[2]rapkvart!Q115</f>
        <v>-96.4</v>
      </c>
      <c r="L21" s="1323">
        <f>[2]rapkvart!R115</f>
        <v>-40.5</v>
      </c>
      <c r="M21" s="1323">
        <f>[2]rapkvart!K115</f>
        <v>-110.3</v>
      </c>
      <c r="N21" s="1323">
        <f>[2]rapkvart!L115</f>
        <v>-115.9</v>
      </c>
      <c r="O21" s="1323">
        <f>[2]rapkvart!M115</f>
        <v>-96.4</v>
      </c>
      <c r="P21" s="1323">
        <f>[2]rapkvart!N115</f>
        <v>-40.5</v>
      </c>
      <c r="R21" s="1323">
        <f>[2]rapkvart!AE115</f>
        <v>-62.3</v>
      </c>
      <c r="S21" s="1323">
        <f>[2]rapkvart!AF115</f>
        <v>-7.2999999999999972</v>
      </c>
      <c r="T21" s="1323">
        <f>[2]rapkvart!AG115</f>
        <v>9.2999999999999972</v>
      </c>
      <c r="U21" s="1323">
        <f>[2]rapkvart!AH115</f>
        <v>48</v>
      </c>
      <c r="V21" s="1323">
        <f>[2]rapkvart!AA115</f>
        <v>-99.8</v>
      </c>
      <c r="W21" s="1323">
        <f>[2]rapkvart!AB115</f>
        <v>-34.299999999999997</v>
      </c>
      <c r="X21" s="1323">
        <f>[2]rapkvart!AC115</f>
        <v>37.699999999999989</v>
      </c>
      <c r="Y21" s="1323">
        <f>[2]rapkvart!AD115</f>
        <v>55.900000000000006</v>
      </c>
      <c r="Z21" s="1323">
        <f>[2]rapkvart!W115</f>
        <v>-110.3</v>
      </c>
      <c r="AA21" s="1323">
        <f>[2]rapkvart!X115</f>
        <v>-5.6000000000000085</v>
      </c>
      <c r="AB21" s="1323">
        <f>[2]rapkvart!Y115</f>
        <v>19.5</v>
      </c>
      <c r="AC21" s="1323">
        <f>[2]rapkvart!Z115</f>
        <v>55.900000000000006</v>
      </c>
      <c r="AD21" s="257"/>
      <c r="AE21" s="257"/>
      <c r="AF21" s="257"/>
      <c r="AG21" s="257"/>
      <c r="AH21" s="257"/>
      <c r="AI21" s="257"/>
      <c r="AJ21" s="257"/>
      <c r="AK21" s="787" t="str">
        <f t="shared" si="7"/>
        <v>Rörelsefordringar</v>
      </c>
      <c r="AL21" s="472"/>
      <c r="AM21" s="1256">
        <f t="shared" si="10"/>
        <v>-5.6000000000000085</v>
      </c>
      <c r="AN21" s="1257">
        <f t="shared" si="11"/>
        <v>-34.299999999999997</v>
      </c>
      <c r="AO21" s="1256">
        <f t="shared" si="12"/>
        <v>-115.9</v>
      </c>
      <c r="AP21" s="1257">
        <f t="shared" si="13"/>
        <v>-134.1</v>
      </c>
      <c r="AQ21" s="1256">
        <f t="shared" si="14"/>
        <v>-22.300000000000011</v>
      </c>
      <c r="AR21" s="1257">
        <f t="shared" si="15"/>
        <v>-40.5</v>
      </c>
      <c r="BN21" s="2249" t="str">
        <f>+[2]rapkvart!$A115</f>
        <v>Operating receivables</v>
      </c>
      <c r="BO21" s="1593"/>
      <c r="BP21" s="2250">
        <f t="shared" si="19"/>
        <v>-5.6000000000000085</v>
      </c>
      <c r="BQ21" s="2251">
        <f t="shared" si="19"/>
        <v>-34.299999999999997</v>
      </c>
      <c r="BR21" s="2250">
        <f t="shared" si="19"/>
        <v>-115.9</v>
      </c>
      <c r="BS21" s="2251">
        <f t="shared" si="19"/>
        <v>-134.1</v>
      </c>
      <c r="BT21" s="2250">
        <f t="shared" si="17"/>
        <v>-22.300000000000011</v>
      </c>
      <c r="BU21" s="2251">
        <f t="shared" si="18"/>
        <v>-40.5</v>
      </c>
    </row>
    <row r="22" spans="3:73" ht="9" customHeight="1" x14ac:dyDescent="0.15">
      <c r="C22" s="772" t="str">
        <f>+[2]rapkvart!$B116</f>
        <v>Rörelseskulder</v>
      </c>
      <c r="D22" s="772"/>
      <c r="E22" s="1326">
        <f>[2]rapkvart!S116</f>
        <v>14.4</v>
      </c>
      <c r="F22" s="1326">
        <f>[2]rapkvart!T116</f>
        <v>17.399999999999999</v>
      </c>
      <c r="G22" s="1326">
        <f>[2]rapkvart!U116</f>
        <v>-66.3</v>
      </c>
      <c r="H22" s="1326">
        <f>[2]rapkvart!V116</f>
        <v>-144.30000000000001</v>
      </c>
      <c r="I22" s="1326">
        <f>[2]rapkvart!O116</f>
        <v>77.099999999999994</v>
      </c>
      <c r="J22" s="1326">
        <f>[2]rapkvart!P116</f>
        <v>79.7</v>
      </c>
      <c r="K22" s="1326">
        <f>[2]rapkvart!Q116</f>
        <v>-0.6</v>
      </c>
      <c r="L22" s="1326">
        <f>[2]rapkvart!R116</f>
        <v>-77.8</v>
      </c>
      <c r="M22" s="1326">
        <f>[2]rapkvart!K116</f>
        <v>70.7</v>
      </c>
      <c r="N22" s="1326">
        <f>[2]rapkvart!L116</f>
        <v>79.5</v>
      </c>
      <c r="O22" s="1326">
        <f>[2]rapkvart!M116</f>
        <v>-0.6</v>
      </c>
      <c r="P22" s="1326">
        <f>[2]rapkvart!N116</f>
        <v>-77.8</v>
      </c>
      <c r="R22" s="1326">
        <f>[2]rapkvart!AE116</f>
        <v>14.4</v>
      </c>
      <c r="S22" s="1326">
        <f>[2]rapkvart!AF116</f>
        <v>2.9999999999999982</v>
      </c>
      <c r="T22" s="1326">
        <f>[2]rapkvart!AG116</f>
        <v>-83.699999999999989</v>
      </c>
      <c r="U22" s="1326">
        <f>[2]rapkvart!AH116</f>
        <v>-78.000000000000014</v>
      </c>
      <c r="V22" s="1326">
        <f>[2]rapkvart!AA116</f>
        <v>77.099999999999994</v>
      </c>
      <c r="W22" s="1326">
        <f>[2]rapkvart!AB116</f>
        <v>2.6000000000000085</v>
      </c>
      <c r="X22" s="1326">
        <f>[2]rapkvart!AC116</f>
        <v>-80.3</v>
      </c>
      <c r="Y22" s="1326">
        <f>[2]rapkvart!AD116</f>
        <v>-77.2</v>
      </c>
      <c r="Z22" s="1326">
        <f>[2]rapkvart!W116</f>
        <v>70.7</v>
      </c>
      <c r="AA22" s="1326">
        <f>[2]rapkvart!X116</f>
        <v>8.7999999999999972</v>
      </c>
      <c r="AB22" s="1326">
        <f>[2]rapkvart!Y116</f>
        <v>-80.099999999999994</v>
      </c>
      <c r="AC22" s="1326">
        <f>[2]rapkvart!Z116</f>
        <v>-77.2</v>
      </c>
      <c r="AD22" s="257"/>
      <c r="AE22" s="257"/>
      <c r="AF22" s="257"/>
      <c r="AG22" s="257"/>
      <c r="AH22" s="257"/>
      <c r="AI22" s="257"/>
      <c r="AJ22" s="257"/>
      <c r="AK22" s="785" t="str">
        <f t="shared" si="7"/>
        <v>Rörelseskulder</v>
      </c>
      <c r="AL22" s="785"/>
      <c r="AM22" s="1259">
        <f t="shared" si="10"/>
        <v>8.7999999999999972</v>
      </c>
      <c r="AN22" s="1260">
        <f t="shared" si="11"/>
        <v>2.6000000000000085</v>
      </c>
      <c r="AO22" s="1259">
        <f t="shared" si="12"/>
        <v>79.5</v>
      </c>
      <c r="AP22" s="1260">
        <f t="shared" si="13"/>
        <v>79.7</v>
      </c>
      <c r="AQ22" s="1259">
        <f t="shared" si="14"/>
        <v>-78</v>
      </c>
      <c r="AR22" s="1260">
        <f t="shared" si="15"/>
        <v>-77.8</v>
      </c>
      <c r="BN22" s="2243" t="str">
        <f>+[2]rapkvart!$A116</f>
        <v>Operating liabilities</v>
      </c>
      <c r="BO22" s="2243"/>
      <c r="BP22" s="2244">
        <f t="shared" si="19"/>
        <v>8.7999999999999972</v>
      </c>
      <c r="BQ22" s="2245">
        <f t="shared" si="19"/>
        <v>2.6000000000000085</v>
      </c>
      <c r="BR22" s="2244">
        <f t="shared" si="19"/>
        <v>79.5</v>
      </c>
      <c r="BS22" s="2245">
        <f t="shared" si="19"/>
        <v>79.7</v>
      </c>
      <c r="BT22" s="2244">
        <f t="shared" si="17"/>
        <v>-78</v>
      </c>
      <c r="BU22" s="2245">
        <f t="shared" si="18"/>
        <v>-77.8</v>
      </c>
    </row>
    <row r="23" spans="3:73" ht="9" customHeight="1" x14ac:dyDescent="0.15">
      <c r="C23" s="941" t="str">
        <f>+[2]rapkvart!$B117</f>
        <v>Kassaflöde från den löpande verksamheten</v>
      </c>
      <c r="D23" s="472"/>
      <c r="E23" s="1325">
        <f>[2]rapkvart!S117</f>
        <v>35.400000000000041</v>
      </c>
      <c r="F23" s="1325">
        <f>[2]rapkvart!T117</f>
        <v>98.600000000000136</v>
      </c>
      <c r="G23" s="1325">
        <f>[2]rapkvart!U117</f>
        <v>50.999999999999915</v>
      </c>
      <c r="H23" s="1325">
        <f>[2]rapkvart!V117</f>
        <v>90.000000000000142</v>
      </c>
      <c r="I23" s="1325">
        <f>[2]rapkvart!O117</f>
        <v>16.20000000000006</v>
      </c>
      <c r="J23" s="1325">
        <f>[2]rapkvart!P117</f>
        <v>30.399999999999935</v>
      </c>
      <c r="K23" s="1325">
        <f>[2]rapkvart!Q117</f>
        <v>18.099999999999987</v>
      </c>
      <c r="L23" s="1325">
        <f>[2]rapkvart!R117</f>
        <v>11.200000000000088</v>
      </c>
      <c r="M23" s="1325">
        <f>[2]rapkvart!K117</f>
        <v>46.799999999999983</v>
      </c>
      <c r="N23" s="1325">
        <f>[2]rapkvart!L117</f>
        <v>110.69999999999999</v>
      </c>
      <c r="O23" s="1325">
        <f>[2]rapkvart!M117</f>
        <v>18.099999999999987</v>
      </c>
      <c r="P23" s="1325">
        <f>[2]rapkvart!N117</f>
        <v>11.200000000000088</v>
      </c>
      <c r="R23" s="1325">
        <f>[2]rapkvart!AE117</f>
        <v>35.400000000000041</v>
      </c>
      <c r="S23" s="1325">
        <f>[2]rapkvart!AF117</f>
        <v>63.200000000000095</v>
      </c>
      <c r="T23" s="1325">
        <f>[2]rapkvart!AG117</f>
        <v>-47.600000000000222</v>
      </c>
      <c r="U23" s="1325">
        <f>[2]rapkvart!AH117</f>
        <v>39.000000000000227</v>
      </c>
      <c r="V23" s="1325">
        <f>[2]rapkvart!AA117</f>
        <v>16.20000000000006</v>
      </c>
      <c r="W23" s="1325">
        <f>[2]rapkvart!AB117</f>
        <v>14.199999999999875</v>
      </c>
      <c r="X23" s="1325">
        <f>[2]rapkvart!AC117</f>
        <v>-12.299999999999947</v>
      </c>
      <c r="Y23" s="1325">
        <f>[2]rapkvart!AD117</f>
        <v>-6.8999999999998991</v>
      </c>
      <c r="Z23" s="1325">
        <f>[2]rapkvart!W117</f>
        <v>46.799999999999983</v>
      </c>
      <c r="AA23" s="1325">
        <f>[2]rapkvart!X117</f>
        <v>63.900000000000006</v>
      </c>
      <c r="AB23" s="1325">
        <f>[2]rapkvart!Y117</f>
        <v>-92.6</v>
      </c>
      <c r="AC23" s="1325">
        <f>[2]rapkvart!Z117</f>
        <v>-6.8999999999998991</v>
      </c>
      <c r="AD23" s="257"/>
      <c r="AE23" s="257"/>
      <c r="AF23" s="257"/>
      <c r="AG23" s="257"/>
      <c r="AH23" s="257"/>
      <c r="AI23" s="257"/>
      <c r="AJ23" s="257"/>
      <c r="AK23" s="475" t="str">
        <f t="shared" si="7"/>
        <v>Kassaflöde från den löpande verksamheten</v>
      </c>
      <c r="AL23" s="1737"/>
      <c r="AM23" s="2050">
        <f t="shared" si="10"/>
        <v>63.900000000000006</v>
      </c>
      <c r="AN23" s="2051">
        <f t="shared" si="11"/>
        <v>14.199999999999875</v>
      </c>
      <c r="AO23" s="2050">
        <f t="shared" si="12"/>
        <v>110.69999999999999</v>
      </c>
      <c r="AP23" s="2051">
        <f t="shared" si="13"/>
        <v>30.399999999999935</v>
      </c>
      <c r="AQ23" s="2050">
        <f t="shared" si="14"/>
        <v>91.500000000000142</v>
      </c>
      <c r="AR23" s="2051">
        <f t="shared" si="15"/>
        <v>11.200000000000088</v>
      </c>
      <c r="BN23" s="2254" t="str">
        <f>+[2]rapkvart!$A117</f>
        <v>Cash flow from operating activities</v>
      </c>
      <c r="BO23" s="2237"/>
      <c r="BP23" s="2255">
        <f t="shared" si="19"/>
        <v>63.900000000000006</v>
      </c>
      <c r="BQ23" s="2256">
        <f t="shared" si="19"/>
        <v>14.199999999999875</v>
      </c>
      <c r="BR23" s="2255">
        <f t="shared" si="19"/>
        <v>110.69999999999999</v>
      </c>
      <c r="BS23" s="2256">
        <f t="shared" si="19"/>
        <v>30.399999999999935</v>
      </c>
      <c r="BT23" s="2255">
        <f t="shared" si="17"/>
        <v>91.500000000000142</v>
      </c>
      <c r="BU23" s="2256">
        <f t="shared" si="18"/>
        <v>11.200000000000088</v>
      </c>
    </row>
    <row r="24" spans="3:73" ht="9" customHeight="1" x14ac:dyDescent="0.15">
      <c r="C24" s="472"/>
      <c r="D24" s="472"/>
      <c r="E24" s="1328"/>
      <c r="F24" s="1328"/>
      <c r="G24" s="1328"/>
      <c r="H24" s="1328"/>
      <c r="I24" s="1328"/>
      <c r="J24" s="1328"/>
      <c r="K24" s="1328"/>
      <c r="L24" s="1328"/>
      <c r="M24" s="1328"/>
      <c r="N24" s="1328"/>
      <c r="O24" s="1328"/>
      <c r="P24" s="1328"/>
      <c r="R24" s="1328">
        <f>[2]rapkvart!AE118</f>
        <v>0</v>
      </c>
      <c r="S24" s="1328">
        <f>[2]rapkvart!AF118</f>
        <v>0</v>
      </c>
      <c r="T24" s="1328">
        <f>[2]rapkvart!AG118</f>
        <v>0</v>
      </c>
      <c r="U24" s="1328">
        <f>[2]rapkvart!AH118</f>
        <v>0</v>
      </c>
      <c r="V24" s="1328">
        <f>[2]rapkvart!AA118</f>
        <v>0</v>
      </c>
      <c r="W24" s="1328">
        <f>[2]rapkvart!AB118</f>
        <v>0</v>
      </c>
      <c r="X24" s="1328">
        <f>[2]rapkvart!AC118</f>
        <v>0</v>
      </c>
      <c r="Y24" s="1328">
        <f>[2]rapkvart!AD118</f>
        <v>0</v>
      </c>
      <c r="Z24" s="1328">
        <f>[2]rapkvart!W118</f>
        <v>0</v>
      </c>
      <c r="AA24" s="1328">
        <f>[2]rapkvart!X118</f>
        <v>0</v>
      </c>
      <c r="AB24" s="1328">
        <f>[2]rapkvart!Y118</f>
        <v>0</v>
      </c>
      <c r="AC24" s="1328">
        <f>[2]rapkvart!Z118</f>
        <v>0</v>
      </c>
      <c r="AD24" s="257"/>
      <c r="AE24" s="257"/>
      <c r="AF24" s="257"/>
      <c r="AG24" s="257"/>
      <c r="AH24" s="257"/>
      <c r="AI24" s="257"/>
      <c r="AJ24" s="257"/>
      <c r="AK24" s="1737"/>
      <c r="AL24" s="1737"/>
      <c r="AM24" s="1943"/>
      <c r="AN24" s="1738"/>
      <c r="AO24" s="1943"/>
      <c r="AP24" s="1738"/>
      <c r="AQ24" s="1943"/>
      <c r="AR24" s="1738"/>
      <c r="BN24" s="2237"/>
      <c r="BO24" s="2237"/>
      <c r="BP24" s="2238"/>
      <c r="BQ24" s="2239"/>
      <c r="BR24" s="2238"/>
      <c r="BS24" s="2239"/>
      <c r="BT24" s="2238"/>
      <c r="BU24" s="2239"/>
    </row>
    <row r="25" spans="3:73" ht="9" customHeight="1" x14ac:dyDescent="0.15">
      <c r="C25" s="472" t="str">
        <f>+[2]rapkvart!$B119</f>
        <v>Investeringar i anläggningstillgångar</v>
      </c>
      <c r="D25" s="472"/>
      <c r="E25" s="1316">
        <f>[2]rapkvart!S119</f>
        <v>-14</v>
      </c>
      <c r="F25" s="1316">
        <f>[2]rapkvart!T119</f>
        <v>-28.1</v>
      </c>
      <c r="G25" s="1316">
        <f>[2]rapkvart!U119</f>
        <v>-55.9</v>
      </c>
      <c r="H25" s="1316">
        <f>[2]rapkvart!V119</f>
        <v>-66.2</v>
      </c>
      <c r="I25" s="1316">
        <f>[2]rapkvart!O119</f>
        <v>-23.6</v>
      </c>
      <c r="J25" s="1316">
        <f>[2]rapkvart!P119</f>
        <v>-48.1</v>
      </c>
      <c r="K25" s="1316">
        <f>[2]rapkvart!Q119</f>
        <v>-61.7</v>
      </c>
      <c r="L25" s="1316">
        <f>[2]rapkvart!R119</f>
        <v>-82.9</v>
      </c>
      <c r="M25" s="1316">
        <f>[2]rapkvart!K119</f>
        <v>-12</v>
      </c>
      <c r="N25" s="1316">
        <f>[2]rapkvart!L119</f>
        <v>-25</v>
      </c>
      <c r="O25" s="1316">
        <f>[2]rapkvart!M119</f>
        <v>-61.7</v>
      </c>
      <c r="P25" s="1316">
        <f>[2]rapkvart!N119</f>
        <v>-82.9</v>
      </c>
      <c r="R25" s="1316">
        <f>[2]rapkvart!AE119</f>
        <v>-14</v>
      </c>
      <c r="S25" s="1316">
        <f>[2]rapkvart!AF119</f>
        <v>-14.100000000000001</v>
      </c>
      <c r="T25" s="1316">
        <f>[2]rapkvart!AG119</f>
        <v>-27.799999999999997</v>
      </c>
      <c r="U25" s="1316">
        <f>[2]rapkvart!AH119</f>
        <v>-10.300000000000004</v>
      </c>
      <c r="V25" s="1316">
        <f>[2]rapkvart!AA119</f>
        <v>-23.6</v>
      </c>
      <c r="W25" s="1316">
        <f>[2]rapkvart!AB119</f>
        <v>-24.5</v>
      </c>
      <c r="X25" s="1316">
        <f>[2]rapkvart!AC119</f>
        <v>-13.600000000000001</v>
      </c>
      <c r="Y25" s="1316">
        <f>[2]rapkvart!AD119</f>
        <v>-21.200000000000003</v>
      </c>
      <c r="Z25" s="1316">
        <f>[2]rapkvart!W119</f>
        <v>-12</v>
      </c>
      <c r="AA25" s="1316">
        <f>[2]rapkvart!X119</f>
        <v>-13</v>
      </c>
      <c r="AB25" s="1316">
        <f>[2]rapkvart!Y119</f>
        <v>-36.700000000000003</v>
      </c>
      <c r="AC25" s="1316">
        <f>[2]rapkvart!Z119</f>
        <v>-21.200000000000003</v>
      </c>
      <c r="AD25" s="257"/>
      <c r="AE25" s="257"/>
      <c r="AF25" s="257"/>
      <c r="AG25" s="257"/>
      <c r="AH25" s="257"/>
      <c r="AI25" s="257"/>
      <c r="AJ25" s="257"/>
      <c r="AK25" s="472" t="str">
        <f t="shared" si="7"/>
        <v>Investeringar i anläggningstillgångar</v>
      </c>
      <c r="AL25" s="472"/>
      <c r="AM25" s="1258">
        <f t="shared" si="10"/>
        <v>-13</v>
      </c>
      <c r="AN25" s="1251">
        <f t="shared" si="11"/>
        <v>-24.5</v>
      </c>
      <c r="AO25" s="1258">
        <f t="shared" si="12"/>
        <v>-25</v>
      </c>
      <c r="AP25" s="1251">
        <f t="shared" si="13"/>
        <v>-48.1</v>
      </c>
      <c r="AQ25" s="1258">
        <f t="shared" si="14"/>
        <v>-59.800000000000004</v>
      </c>
      <c r="AR25" s="1251">
        <f t="shared" si="15"/>
        <v>-82.9</v>
      </c>
      <c r="BN25" s="1593" t="str">
        <f>+[2]rapkvart!$A119</f>
        <v>Acquisition of property. plant and equipment</v>
      </c>
      <c r="BO25" s="1593"/>
      <c r="BP25" s="2242">
        <f t="shared" ref="BP25:BS27" si="20">AM25</f>
        <v>-13</v>
      </c>
      <c r="BQ25" s="1731">
        <f t="shared" si="20"/>
        <v>-24.5</v>
      </c>
      <c r="BR25" s="2242">
        <f t="shared" si="20"/>
        <v>-25</v>
      </c>
      <c r="BS25" s="1731">
        <f t="shared" si="20"/>
        <v>-48.1</v>
      </c>
      <c r="BT25" s="2242">
        <f t="shared" si="17"/>
        <v>-59.800000000000004</v>
      </c>
      <c r="BU25" s="1731">
        <f t="shared" si="18"/>
        <v>-82.9</v>
      </c>
    </row>
    <row r="26" spans="3:73" ht="9" customHeight="1" x14ac:dyDescent="0.15">
      <c r="C26" s="772" t="str">
        <f>+[2]rapkvart!$B120</f>
        <v>Försäljning av anläggningstillgångar</v>
      </c>
      <c r="D26" s="772"/>
      <c r="E26" s="1326">
        <f>[2]rapkvart!S120</f>
        <v>0</v>
      </c>
      <c r="F26" s="1326">
        <f>[2]rapkvart!T120</f>
        <v>0</v>
      </c>
      <c r="G26" s="1326">
        <f>[2]rapkvart!U120</f>
        <v>0</v>
      </c>
      <c r="H26" s="1326">
        <f>[2]rapkvart!V120</f>
        <v>0</v>
      </c>
      <c r="I26" s="1326">
        <f>[2]rapkvart!O120</f>
        <v>0</v>
      </c>
      <c r="J26" s="1326">
        <f>[2]rapkvart!P120</f>
        <v>0</v>
      </c>
      <c r="K26" s="1326">
        <f>[2]rapkvart!Q120</f>
        <v>0</v>
      </c>
      <c r="L26" s="1326">
        <f>[2]rapkvart!R120</f>
        <v>0</v>
      </c>
      <c r="M26" s="1326">
        <f>[2]rapkvart!K120</f>
        <v>0</v>
      </c>
      <c r="N26" s="1326">
        <f>[2]rapkvart!L120</f>
        <v>0</v>
      </c>
      <c r="O26" s="1326">
        <f>[2]rapkvart!M120</f>
        <v>0</v>
      </c>
      <c r="P26" s="1326">
        <f>[2]rapkvart!N120</f>
        <v>0</v>
      </c>
      <c r="R26" s="1326">
        <f>[2]rapkvart!AE120</f>
        <v>0</v>
      </c>
      <c r="S26" s="1326">
        <f>[2]rapkvart!AF120</f>
        <v>0</v>
      </c>
      <c r="T26" s="1326">
        <f>[2]rapkvart!AG120</f>
        <v>0</v>
      </c>
      <c r="U26" s="1326">
        <f>[2]rapkvart!AH120</f>
        <v>0</v>
      </c>
      <c r="V26" s="1326">
        <f>[2]rapkvart!AA120</f>
        <v>0</v>
      </c>
      <c r="W26" s="1326">
        <f>[2]rapkvart!AB120</f>
        <v>0</v>
      </c>
      <c r="X26" s="1326">
        <f>[2]rapkvart!AC120</f>
        <v>0</v>
      </c>
      <c r="Y26" s="1326">
        <f>[2]rapkvart!AD120</f>
        <v>0</v>
      </c>
      <c r="Z26" s="1326">
        <f>[2]rapkvart!W120</f>
        <v>0</v>
      </c>
      <c r="AA26" s="1326">
        <f>[2]rapkvart!X120</f>
        <v>0</v>
      </c>
      <c r="AB26" s="1326">
        <f>[2]rapkvart!Y120</f>
        <v>0</v>
      </c>
      <c r="AC26" s="1326">
        <f>[2]rapkvart!Z120</f>
        <v>0</v>
      </c>
      <c r="AD26" s="257"/>
      <c r="AE26" s="257"/>
      <c r="AF26" s="257"/>
      <c r="AG26" s="257"/>
      <c r="AH26" s="257"/>
      <c r="AI26" s="257"/>
      <c r="AJ26" s="257"/>
      <c r="AK26" s="785" t="str">
        <f t="shared" si="7"/>
        <v>Försäljning av anläggningstillgångar</v>
      </c>
      <c r="AL26" s="785"/>
      <c r="AM26" s="1259">
        <f t="shared" si="10"/>
        <v>0</v>
      </c>
      <c r="AN26" s="1260">
        <f t="shared" si="11"/>
        <v>0</v>
      </c>
      <c r="AO26" s="1259">
        <f t="shared" si="12"/>
        <v>0</v>
      </c>
      <c r="AP26" s="1260">
        <f t="shared" si="13"/>
        <v>0</v>
      </c>
      <c r="AQ26" s="1259">
        <f t="shared" si="14"/>
        <v>0</v>
      </c>
      <c r="AR26" s="1260">
        <f t="shared" si="15"/>
        <v>0</v>
      </c>
      <c r="BN26" s="2243" t="str">
        <f>+[2]rapkvart!$A120</f>
        <v>Sale of property, plant and equipment</v>
      </c>
      <c r="BO26" s="2243"/>
      <c r="BP26" s="2244">
        <f t="shared" si="20"/>
        <v>0</v>
      </c>
      <c r="BQ26" s="2245">
        <f t="shared" si="20"/>
        <v>0</v>
      </c>
      <c r="BR26" s="2244">
        <f t="shared" si="20"/>
        <v>0</v>
      </c>
      <c r="BS26" s="2245">
        <f t="shared" si="20"/>
        <v>0</v>
      </c>
      <c r="BT26" s="2244">
        <f t="shared" si="17"/>
        <v>0</v>
      </c>
      <c r="BU26" s="2245">
        <f t="shared" si="18"/>
        <v>0</v>
      </c>
    </row>
    <row r="27" spans="3:73" ht="9" customHeight="1" x14ac:dyDescent="0.15">
      <c r="C27" s="941" t="str">
        <f>+[2]rapkvart!$B121</f>
        <v>Kassaflöde från investeringsverksamheten</v>
      </c>
      <c r="D27" s="472"/>
      <c r="E27" s="1316">
        <f>[2]rapkvart!S121</f>
        <v>-14</v>
      </c>
      <c r="F27" s="1316">
        <f>[2]rapkvart!T121</f>
        <v>-28.1</v>
      </c>
      <c r="G27" s="1316">
        <f>[2]rapkvart!U121</f>
        <v>-55.9</v>
      </c>
      <c r="H27" s="1316">
        <f>[2]rapkvart!V121</f>
        <v>-66.2</v>
      </c>
      <c r="I27" s="1316">
        <f>[2]rapkvart!O121</f>
        <v>-23.6</v>
      </c>
      <c r="J27" s="1316">
        <f>[2]rapkvart!P121</f>
        <v>-48.1</v>
      </c>
      <c r="K27" s="1316">
        <f>[2]rapkvart!Q121</f>
        <v>-61.7</v>
      </c>
      <c r="L27" s="1316">
        <f>[2]rapkvart!R121</f>
        <v>-82.9</v>
      </c>
      <c r="M27" s="1316">
        <f>[2]rapkvart!K121</f>
        <v>-12</v>
      </c>
      <c r="N27" s="1316">
        <f>[2]rapkvart!L121</f>
        <v>-25</v>
      </c>
      <c r="O27" s="1316">
        <f>[2]rapkvart!M121</f>
        <v>-61.7</v>
      </c>
      <c r="P27" s="1316">
        <f>[2]rapkvart!N121</f>
        <v>-82.9</v>
      </c>
      <c r="R27" s="1316">
        <f>[2]rapkvart!AE121</f>
        <v>-14</v>
      </c>
      <c r="S27" s="1316">
        <f>[2]rapkvart!AF121</f>
        <v>-14.100000000000001</v>
      </c>
      <c r="T27" s="1316">
        <f>[2]rapkvart!AG121</f>
        <v>-27.799999999999997</v>
      </c>
      <c r="U27" s="1316">
        <f>[2]rapkvart!AH121</f>
        <v>-10.300000000000004</v>
      </c>
      <c r="V27" s="1316">
        <f>[2]rapkvart!AA121</f>
        <v>-23.6</v>
      </c>
      <c r="W27" s="1316">
        <f>[2]rapkvart!AB121</f>
        <v>-24.5</v>
      </c>
      <c r="X27" s="1316">
        <f>[2]rapkvart!AC121</f>
        <v>-13.600000000000001</v>
      </c>
      <c r="Y27" s="1316">
        <f>[2]rapkvart!AD121</f>
        <v>-21.200000000000003</v>
      </c>
      <c r="Z27" s="1316">
        <f>[2]rapkvart!W121</f>
        <v>-12</v>
      </c>
      <c r="AA27" s="1316">
        <f>[2]rapkvart!X121</f>
        <v>-13</v>
      </c>
      <c r="AB27" s="1316">
        <f>[2]rapkvart!Y121</f>
        <v>-36.700000000000003</v>
      </c>
      <c r="AC27" s="1316">
        <f>[2]rapkvart!Z121</f>
        <v>-21.200000000000003</v>
      </c>
      <c r="AD27" s="257"/>
      <c r="AE27" s="257"/>
      <c r="AF27" s="257"/>
      <c r="AG27" s="257"/>
      <c r="AH27" s="257"/>
      <c r="AI27" s="257"/>
      <c r="AJ27" s="257"/>
      <c r="AK27" s="475" t="str">
        <f t="shared" si="7"/>
        <v>Kassaflöde från investeringsverksamheten</v>
      </c>
      <c r="AL27" s="1737"/>
      <c r="AM27" s="2049">
        <f t="shared" si="10"/>
        <v>-13</v>
      </c>
      <c r="AN27" s="1752">
        <f t="shared" si="11"/>
        <v>-24.5</v>
      </c>
      <c r="AO27" s="2049">
        <f t="shared" si="12"/>
        <v>-25</v>
      </c>
      <c r="AP27" s="1752">
        <f t="shared" si="13"/>
        <v>-48.1</v>
      </c>
      <c r="AQ27" s="2049">
        <f t="shared" si="14"/>
        <v>-59.800000000000004</v>
      </c>
      <c r="AR27" s="1752">
        <f t="shared" si="15"/>
        <v>-82.9</v>
      </c>
      <c r="BN27" s="2254" t="str">
        <f>+[2]rapkvart!$A121</f>
        <v>Cash flow from investing activities</v>
      </c>
      <c r="BO27" s="2237"/>
      <c r="BP27" s="2252">
        <f t="shared" si="20"/>
        <v>-13</v>
      </c>
      <c r="BQ27" s="2253">
        <f t="shared" si="20"/>
        <v>-24.5</v>
      </c>
      <c r="BR27" s="2252">
        <f t="shared" si="20"/>
        <v>-25</v>
      </c>
      <c r="BS27" s="2253">
        <f t="shared" si="20"/>
        <v>-48.1</v>
      </c>
      <c r="BT27" s="2252">
        <f t="shared" si="17"/>
        <v>-59.800000000000004</v>
      </c>
      <c r="BU27" s="2253">
        <f t="shared" si="18"/>
        <v>-82.9</v>
      </c>
    </row>
    <row r="28" spans="3:73" ht="9" customHeight="1" x14ac:dyDescent="0.15">
      <c r="D28" s="472"/>
      <c r="E28" s="1328"/>
      <c r="F28" s="1328"/>
      <c r="G28" s="1328"/>
      <c r="H28" s="1328"/>
      <c r="I28" s="1328"/>
      <c r="J28" s="1328"/>
      <c r="K28" s="1328"/>
      <c r="L28" s="1328"/>
      <c r="M28" s="1328"/>
      <c r="N28" s="1328"/>
      <c r="O28" s="1328"/>
      <c r="P28" s="1328"/>
      <c r="R28" s="1328">
        <f>[2]rapkvart!AE122</f>
        <v>0</v>
      </c>
      <c r="S28" s="1328">
        <f>[2]rapkvart!AF122</f>
        <v>0</v>
      </c>
      <c r="T28" s="1328">
        <f>[2]rapkvart!AG122</f>
        <v>0</v>
      </c>
      <c r="U28" s="1328">
        <f>[2]rapkvart!AH122</f>
        <v>0</v>
      </c>
      <c r="V28" s="1328">
        <f>[2]rapkvart!AA122</f>
        <v>0</v>
      </c>
      <c r="W28" s="1328">
        <f>[2]rapkvart!AB122</f>
        <v>0</v>
      </c>
      <c r="X28" s="1328">
        <f>[2]rapkvart!AC122</f>
        <v>0</v>
      </c>
      <c r="Y28" s="1328">
        <f>[2]rapkvart!AD122</f>
        <v>0</v>
      </c>
      <c r="Z28" s="1328">
        <f>[2]rapkvart!W122</f>
        <v>0</v>
      </c>
      <c r="AA28" s="1328">
        <f>[2]rapkvart!X122</f>
        <v>0</v>
      </c>
      <c r="AB28" s="1328">
        <f>[2]rapkvart!Y122</f>
        <v>0</v>
      </c>
      <c r="AC28" s="1328">
        <f>[2]rapkvart!Z122</f>
        <v>0</v>
      </c>
      <c r="AD28" s="257"/>
      <c r="AE28" s="257"/>
      <c r="AF28" s="257"/>
      <c r="AG28" s="257"/>
      <c r="AH28" s="257"/>
      <c r="AI28" s="257"/>
      <c r="AJ28" s="257"/>
      <c r="AL28" s="1737"/>
      <c r="AM28" s="1943"/>
      <c r="AN28" s="1738"/>
      <c r="AO28" s="1943"/>
      <c r="AP28" s="1738"/>
      <c r="AQ28" s="1943"/>
      <c r="AR28" s="1738"/>
      <c r="BN28" s="1720"/>
      <c r="BO28" s="2237"/>
      <c r="BP28" s="2238"/>
      <c r="BQ28" s="2239"/>
      <c r="BR28" s="2238"/>
      <c r="BS28" s="2239"/>
      <c r="BT28" s="2238"/>
      <c r="BU28" s="2239"/>
    </row>
    <row r="29" spans="3:73" ht="9" customHeight="1" x14ac:dyDescent="0.15">
      <c r="C29" s="787" t="str">
        <f>+[2]rapkvart!$B123</f>
        <v>Nyemission/Aktieägartillskott</v>
      </c>
      <c r="D29" s="472"/>
      <c r="E29" s="1323">
        <f>[2]rapkvart!S123</f>
        <v>0</v>
      </c>
      <c r="F29" s="1323">
        <f>[2]rapkvart!T123</f>
        <v>0</v>
      </c>
      <c r="G29" s="1323">
        <f>[2]rapkvart!U123</f>
        <v>0</v>
      </c>
      <c r="H29" s="1323">
        <f>[2]rapkvart!V123</f>
        <v>0</v>
      </c>
      <c r="I29" s="1323">
        <f>[2]rapkvart!O123</f>
        <v>0</v>
      </c>
      <c r="J29" s="1323">
        <f>[2]rapkvart!P123</f>
        <v>0</v>
      </c>
      <c r="K29" s="1323">
        <f>[2]rapkvart!Q123</f>
        <v>0</v>
      </c>
      <c r="L29" s="1323">
        <f>[2]rapkvart!R123</f>
        <v>0</v>
      </c>
      <c r="M29" s="1323">
        <f>[2]rapkvart!K123</f>
        <v>0</v>
      </c>
      <c r="N29" s="1323">
        <f>[2]rapkvart!L123</f>
        <v>0</v>
      </c>
      <c r="O29" s="1323">
        <f>[2]rapkvart!M123</f>
        <v>0</v>
      </c>
      <c r="P29" s="1323">
        <f>[2]rapkvart!N123</f>
        <v>0</v>
      </c>
      <c r="R29" s="1323">
        <f>[2]rapkvart!AE123</f>
        <v>0</v>
      </c>
      <c r="S29" s="1323">
        <f>[2]rapkvart!AF123</f>
        <v>0</v>
      </c>
      <c r="T29" s="1323">
        <f>[2]rapkvart!AG123</f>
        <v>0</v>
      </c>
      <c r="U29" s="1323">
        <f>[2]rapkvart!AH123</f>
        <v>0</v>
      </c>
      <c r="V29" s="1323">
        <f>[2]rapkvart!AA123</f>
        <v>0</v>
      </c>
      <c r="W29" s="1323">
        <f>[2]rapkvart!AB123</f>
        <v>0</v>
      </c>
      <c r="X29" s="1323">
        <f>[2]rapkvart!AC123</f>
        <v>0</v>
      </c>
      <c r="Y29" s="1323">
        <f>[2]rapkvart!AD123</f>
        <v>0</v>
      </c>
      <c r="Z29" s="1323">
        <f>[2]rapkvart!W123</f>
        <v>0</v>
      </c>
      <c r="AA29" s="1323">
        <f>[2]rapkvart!X123</f>
        <v>0</v>
      </c>
      <c r="AB29" s="1323">
        <f>[2]rapkvart!Y123</f>
        <v>0</v>
      </c>
      <c r="AC29" s="1323">
        <f>[2]rapkvart!Z123</f>
        <v>0</v>
      </c>
      <c r="AD29" s="257"/>
      <c r="AE29" s="257"/>
      <c r="AF29" s="257"/>
      <c r="AG29" s="257"/>
      <c r="AH29" s="257"/>
      <c r="AI29" s="257"/>
      <c r="AJ29" s="257"/>
      <c r="AK29" s="472" t="str">
        <f t="shared" si="7"/>
        <v>Nyemission/Aktieägartillskott</v>
      </c>
      <c r="AL29" s="472"/>
      <c r="AM29" s="1258">
        <f t="shared" si="10"/>
        <v>0</v>
      </c>
      <c r="AN29" s="1251">
        <f t="shared" si="11"/>
        <v>0</v>
      </c>
      <c r="AO29" s="1258">
        <f t="shared" si="12"/>
        <v>0</v>
      </c>
      <c r="AP29" s="1251">
        <f t="shared" si="13"/>
        <v>0</v>
      </c>
      <c r="AQ29" s="1258">
        <f t="shared" si="14"/>
        <v>0</v>
      </c>
      <c r="AR29" s="1251">
        <f t="shared" si="15"/>
        <v>0</v>
      </c>
      <c r="BN29" s="1593" t="str">
        <f>+[2]rapkvart!$A123</f>
        <v>Rights issue/Shareholder contributions 1)</v>
      </c>
      <c r="BO29" s="472"/>
      <c r="BP29" s="2242">
        <f t="shared" ref="BP29:BS36" si="21">AM29</f>
        <v>0</v>
      </c>
      <c r="BQ29" s="1731">
        <f t="shared" si="21"/>
        <v>0</v>
      </c>
      <c r="BR29" s="2242">
        <f t="shared" si="21"/>
        <v>0</v>
      </c>
      <c r="BS29" s="1731">
        <f t="shared" si="21"/>
        <v>0</v>
      </c>
      <c r="BT29" s="2242">
        <f t="shared" si="17"/>
        <v>0</v>
      </c>
      <c r="BU29" s="1731">
        <f t="shared" si="18"/>
        <v>0</v>
      </c>
    </row>
    <row r="30" spans="3:73" ht="9" customHeight="1" x14ac:dyDescent="0.15">
      <c r="C30" s="787" t="str">
        <f>+[2]rapkvart!$B124</f>
        <v>Utdelning</v>
      </c>
      <c r="D30" s="787"/>
      <c r="E30" s="1323">
        <f>[2]rapkvart!S124</f>
        <v>0</v>
      </c>
      <c r="F30" s="1323">
        <f>[2]rapkvart!T124</f>
        <v>-37</v>
      </c>
      <c r="G30" s="1323">
        <f>[2]rapkvart!U124</f>
        <v>-43.9</v>
      </c>
      <c r="H30" s="1323">
        <f>[2]rapkvart!V124</f>
        <v>-43.9</v>
      </c>
      <c r="I30" s="1323">
        <f>[2]rapkvart!O124</f>
        <v>-5.2</v>
      </c>
      <c r="J30" s="1323">
        <f>[2]rapkvart!P124</f>
        <v>-42.2</v>
      </c>
      <c r="K30" s="1323">
        <f>[2]rapkvart!Q124</f>
        <v>-42.2</v>
      </c>
      <c r="L30" s="1323">
        <f>[2]rapkvart!R124</f>
        <v>-42.2</v>
      </c>
      <c r="M30" s="1323">
        <f>[2]rapkvart!K124</f>
        <v>-8.6</v>
      </c>
      <c r="N30" s="1323">
        <f>[2]rapkvart!L124</f>
        <v>-8.6</v>
      </c>
      <c r="O30" s="1323">
        <f>[2]rapkvart!M124</f>
        <v>-42.2</v>
      </c>
      <c r="P30" s="1323">
        <f>[2]rapkvart!N124</f>
        <v>-42.2</v>
      </c>
      <c r="R30" s="1323">
        <f>[2]rapkvart!AE124</f>
        <v>0</v>
      </c>
      <c r="S30" s="1323">
        <f>[2]rapkvart!AF124</f>
        <v>-37</v>
      </c>
      <c r="T30" s="1323">
        <f>[2]rapkvart!AG124</f>
        <v>-6.8999999999999986</v>
      </c>
      <c r="U30" s="1323">
        <f>[2]rapkvart!AH124</f>
        <v>0</v>
      </c>
      <c r="V30" s="1323">
        <f>[2]rapkvart!AA124</f>
        <v>-5.2</v>
      </c>
      <c r="W30" s="1323">
        <f>[2]rapkvart!AB124</f>
        <v>-37</v>
      </c>
      <c r="X30" s="1323">
        <f>[2]rapkvart!AC124</f>
        <v>0</v>
      </c>
      <c r="Y30" s="1323">
        <f>[2]rapkvart!AD124</f>
        <v>0</v>
      </c>
      <c r="Z30" s="1323">
        <f>[2]rapkvart!W124</f>
        <v>-8.6</v>
      </c>
      <c r="AA30" s="1323">
        <f>[2]rapkvart!X124</f>
        <v>0</v>
      </c>
      <c r="AB30" s="1323">
        <f>[2]rapkvart!Y124</f>
        <v>-33.6</v>
      </c>
      <c r="AC30" s="1323">
        <f>[2]rapkvart!Z124</f>
        <v>0</v>
      </c>
      <c r="AD30" s="257"/>
      <c r="AE30" s="257"/>
      <c r="AF30" s="257"/>
      <c r="AG30" s="257"/>
      <c r="AH30" s="257"/>
      <c r="AI30" s="257"/>
      <c r="AJ30" s="257"/>
      <c r="AK30" s="787" t="str">
        <f t="shared" si="7"/>
        <v>Utdelning</v>
      </c>
      <c r="AL30" s="787"/>
      <c r="AM30" s="1256">
        <f t="shared" si="10"/>
        <v>0</v>
      </c>
      <c r="AN30" s="1257">
        <f t="shared" si="11"/>
        <v>-37</v>
      </c>
      <c r="AO30" s="1256">
        <f t="shared" si="12"/>
        <v>-8.6</v>
      </c>
      <c r="AP30" s="1257">
        <f t="shared" si="13"/>
        <v>-42.2</v>
      </c>
      <c r="AQ30" s="1256">
        <f t="shared" si="14"/>
        <v>-8.6</v>
      </c>
      <c r="AR30" s="1257">
        <f t="shared" si="15"/>
        <v>-42.2</v>
      </c>
      <c r="BN30" s="787" t="str">
        <f>+[2]rapkvart!$A124</f>
        <v>Dividend</v>
      </c>
      <c r="BO30" s="2249"/>
      <c r="BP30" s="1256">
        <f t="shared" si="21"/>
        <v>0</v>
      </c>
      <c r="BQ30" s="1257">
        <f t="shared" si="21"/>
        <v>-37</v>
      </c>
      <c r="BR30" s="1256">
        <f t="shared" si="21"/>
        <v>-8.6</v>
      </c>
      <c r="BS30" s="1257">
        <f t="shared" si="21"/>
        <v>-42.2</v>
      </c>
      <c r="BT30" s="1256">
        <f t="shared" si="17"/>
        <v>-8.6</v>
      </c>
      <c r="BU30" s="1257">
        <f t="shared" si="18"/>
        <v>-42.2</v>
      </c>
    </row>
    <row r="31" spans="3:73" ht="9" customHeight="1" x14ac:dyDescent="0.15">
      <c r="C31" s="787" t="str">
        <f>+[2]rapkvart!$B125</f>
        <v>Upptagna lån</v>
      </c>
      <c r="D31" s="472"/>
      <c r="E31" s="1323">
        <f>[2]rapkvart!S125</f>
        <v>0</v>
      </c>
      <c r="F31" s="1323">
        <f>[2]rapkvart!T125</f>
        <v>0</v>
      </c>
      <c r="G31" s="1323">
        <f>[2]rapkvart!U125</f>
        <v>0</v>
      </c>
      <c r="H31" s="1323">
        <f>[2]rapkvart!V125</f>
        <v>0</v>
      </c>
      <c r="I31" s="1323">
        <f>[2]rapkvart!O125</f>
        <v>0</v>
      </c>
      <c r="J31" s="1323">
        <f>[2]rapkvart!P125</f>
        <v>0</v>
      </c>
      <c r="K31" s="1323">
        <f>[2]rapkvart!Q125</f>
        <v>0</v>
      </c>
      <c r="L31" s="1323">
        <f>[2]rapkvart!R125</f>
        <v>0</v>
      </c>
      <c r="M31" s="1323">
        <f>[2]rapkvart!K125</f>
        <v>0</v>
      </c>
      <c r="N31" s="1323">
        <f>[2]rapkvart!L125</f>
        <v>0</v>
      </c>
      <c r="O31" s="1323">
        <f>[2]rapkvart!M125</f>
        <v>0</v>
      </c>
      <c r="P31" s="1323">
        <f>[2]rapkvart!N125</f>
        <v>0</v>
      </c>
      <c r="R31" s="1323">
        <f>[2]rapkvart!AE125</f>
        <v>0</v>
      </c>
      <c r="S31" s="1323">
        <f>[2]rapkvart!AF125</f>
        <v>0</v>
      </c>
      <c r="T31" s="1323">
        <f>[2]rapkvart!AG125</f>
        <v>0</v>
      </c>
      <c r="U31" s="1323">
        <f>[2]rapkvart!AH125</f>
        <v>0</v>
      </c>
      <c r="V31" s="1323">
        <f>[2]rapkvart!AA125</f>
        <v>0</v>
      </c>
      <c r="W31" s="1323">
        <f>[2]rapkvart!AB125</f>
        <v>0</v>
      </c>
      <c r="X31" s="1323">
        <f>[2]rapkvart!AC125</f>
        <v>0</v>
      </c>
      <c r="Y31" s="1323">
        <f>[2]rapkvart!AD125</f>
        <v>0</v>
      </c>
      <c r="Z31" s="1323">
        <f>[2]rapkvart!W125</f>
        <v>0</v>
      </c>
      <c r="AA31" s="1323">
        <f>[2]rapkvart!X125</f>
        <v>0</v>
      </c>
      <c r="AB31" s="1323">
        <f>[2]rapkvart!Y125</f>
        <v>0</v>
      </c>
      <c r="AC31" s="1323">
        <f>[2]rapkvart!Z125</f>
        <v>0</v>
      </c>
      <c r="AD31" s="257"/>
      <c r="AE31" s="257"/>
      <c r="AF31" s="257"/>
      <c r="AG31" s="257"/>
      <c r="AH31" s="257"/>
      <c r="AI31" s="257"/>
      <c r="AJ31" s="257"/>
      <c r="AK31" s="787" t="str">
        <f t="shared" si="7"/>
        <v>Upptagna lån</v>
      </c>
      <c r="AL31" s="472"/>
      <c r="AM31" s="1256">
        <f t="shared" si="10"/>
        <v>0</v>
      </c>
      <c r="AN31" s="1257">
        <f t="shared" si="11"/>
        <v>0</v>
      </c>
      <c r="AO31" s="1256">
        <f t="shared" si="12"/>
        <v>0</v>
      </c>
      <c r="AP31" s="1257">
        <f t="shared" si="13"/>
        <v>0</v>
      </c>
      <c r="AQ31" s="1256">
        <f t="shared" si="14"/>
        <v>0</v>
      </c>
      <c r="AR31" s="1257">
        <f t="shared" si="15"/>
        <v>0</v>
      </c>
      <c r="BN31" s="787" t="str">
        <f>+[2]rapkvart!$A125</f>
        <v>Loans raised</v>
      </c>
      <c r="BO31" s="472"/>
      <c r="BP31" s="1256">
        <f t="shared" si="21"/>
        <v>0</v>
      </c>
      <c r="BQ31" s="1257">
        <f t="shared" si="21"/>
        <v>0</v>
      </c>
      <c r="BR31" s="1256">
        <f t="shared" si="21"/>
        <v>0</v>
      </c>
      <c r="BS31" s="1257">
        <f t="shared" si="21"/>
        <v>0</v>
      </c>
      <c r="BT31" s="1256">
        <f t="shared" si="17"/>
        <v>0</v>
      </c>
      <c r="BU31" s="1257">
        <f t="shared" si="18"/>
        <v>0</v>
      </c>
    </row>
    <row r="32" spans="3:73" ht="9" customHeight="1" x14ac:dyDescent="0.15">
      <c r="C32" s="787" t="str">
        <f>+[2]rapkvart!$B126</f>
        <v>Förändring av checkkredit</v>
      </c>
      <c r="D32" s="472"/>
      <c r="E32" s="1323">
        <f>[2]rapkvart!S126</f>
        <v>0</v>
      </c>
      <c r="F32" s="1323">
        <f>[2]rapkvart!T126</f>
        <v>0</v>
      </c>
      <c r="G32" s="1323">
        <f>[2]rapkvart!U126</f>
        <v>0</v>
      </c>
      <c r="H32" s="1323">
        <f>[2]rapkvart!V126</f>
        <v>0</v>
      </c>
      <c r="I32" s="1323">
        <f>[2]rapkvart!O126</f>
        <v>0</v>
      </c>
      <c r="J32" s="1323">
        <f>[2]rapkvart!P126</f>
        <v>43.4</v>
      </c>
      <c r="K32" s="1323">
        <f>[2]rapkvart!Q126</f>
        <v>94.8</v>
      </c>
      <c r="L32" s="1323">
        <f>[2]rapkvart!R126</f>
        <v>124.2</v>
      </c>
      <c r="M32" s="1323">
        <f>[2]rapkvart!K126</f>
        <v>-32.5</v>
      </c>
      <c r="N32" s="1323">
        <f>[2]rapkvart!L126</f>
        <v>-98.3</v>
      </c>
      <c r="O32" s="1323">
        <f>[2]rapkvart!M126</f>
        <v>94.8</v>
      </c>
      <c r="P32" s="1323">
        <f>[2]rapkvart!N126</f>
        <v>124.2</v>
      </c>
      <c r="R32" s="1323">
        <f>[2]rapkvart!AE126</f>
        <v>0</v>
      </c>
      <c r="S32" s="1323">
        <f>[2]rapkvart!AF126</f>
        <v>0</v>
      </c>
      <c r="T32" s="1323">
        <f>[2]rapkvart!AG126</f>
        <v>0</v>
      </c>
      <c r="U32" s="1323">
        <f>[2]rapkvart!AH126</f>
        <v>0</v>
      </c>
      <c r="V32" s="1323">
        <f>[2]rapkvart!AA126</f>
        <v>0</v>
      </c>
      <c r="W32" s="1323">
        <f>[2]rapkvart!AB126</f>
        <v>43.4</v>
      </c>
      <c r="X32" s="1323">
        <f>[2]rapkvart!AC126</f>
        <v>51.4</v>
      </c>
      <c r="Y32" s="1323">
        <f>[2]rapkvart!AD126</f>
        <v>29.400000000000006</v>
      </c>
      <c r="Z32" s="1323">
        <f>[2]rapkvart!W126</f>
        <v>-32.5</v>
      </c>
      <c r="AA32" s="1323">
        <f>[2]rapkvart!X126</f>
        <v>-65.8</v>
      </c>
      <c r="AB32" s="1323">
        <f>[2]rapkvart!Y126</f>
        <v>193.1</v>
      </c>
      <c r="AC32" s="1323">
        <f>[2]rapkvart!Z126</f>
        <v>29.400000000000006</v>
      </c>
      <c r="AD32" s="257"/>
      <c r="AE32" s="257"/>
      <c r="AF32" s="257"/>
      <c r="AG32" s="257"/>
      <c r="AH32" s="257"/>
      <c r="AI32" s="257"/>
      <c r="AJ32" s="257"/>
      <c r="AK32" s="787" t="str">
        <f t="shared" si="7"/>
        <v>Förändring av checkkredit</v>
      </c>
      <c r="AL32" s="472"/>
      <c r="AM32" s="1256">
        <f t="shared" si="10"/>
        <v>-65.8</v>
      </c>
      <c r="AN32" s="1257">
        <f t="shared" si="11"/>
        <v>43.4</v>
      </c>
      <c r="AO32" s="1256">
        <f t="shared" si="12"/>
        <v>-98.3</v>
      </c>
      <c r="AP32" s="1257">
        <f t="shared" si="13"/>
        <v>43.4</v>
      </c>
      <c r="AQ32" s="1256">
        <f t="shared" si="14"/>
        <v>-17.499999999999986</v>
      </c>
      <c r="AR32" s="1257">
        <f t="shared" si="15"/>
        <v>124.2</v>
      </c>
      <c r="BN32" s="2249" t="str">
        <f>+[2]rapkvart!$A126</f>
        <v>Change in bank overdraft facility utilized</v>
      </c>
      <c r="BO32" s="1593"/>
      <c r="BP32" s="2250">
        <f t="shared" si="21"/>
        <v>-65.8</v>
      </c>
      <c r="BQ32" s="2251">
        <f t="shared" si="21"/>
        <v>43.4</v>
      </c>
      <c r="BR32" s="2250">
        <f t="shared" si="21"/>
        <v>-98.3</v>
      </c>
      <c r="BS32" s="2251">
        <f t="shared" si="21"/>
        <v>43.4</v>
      </c>
      <c r="BT32" s="2250">
        <f t="shared" si="17"/>
        <v>-17.499999999999986</v>
      </c>
      <c r="BU32" s="2251">
        <f t="shared" si="18"/>
        <v>124.2</v>
      </c>
    </row>
    <row r="33" spans="3:73" ht="9" customHeight="1" x14ac:dyDescent="0.15">
      <c r="C33" s="787" t="str">
        <f>+[2]rapkvart!$B127</f>
        <v>Amortering av lån</v>
      </c>
      <c r="D33" s="472"/>
      <c r="E33" s="1323">
        <f>[2]rapkvart!S127</f>
        <v>-4.5999999999999996</v>
      </c>
      <c r="F33" s="1323">
        <f>[2]rapkvart!T127</f>
        <v>-9.3000000000000007</v>
      </c>
      <c r="G33" s="1323">
        <f>[2]rapkvart!U127</f>
        <v>-14</v>
      </c>
      <c r="H33" s="1323">
        <f>[2]rapkvart!V127</f>
        <v>-18.7</v>
      </c>
      <c r="I33" s="1323">
        <f>[2]rapkvart!O127</f>
        <v>-4.0999999999999996</v>
      </c>
      <c r="J33" s="1323">
        <f>[2]rapkvart!P127</f>
        <v>-8.1999999999999993</v>
      </c>
      <c r="K33" s="1323">
        <f>[2]rapkvart!Q127</f>
        <v>-12.3</v>
      </c>
      <c r="L33" s="1323">
        <f>[2]rapkvart!R127</f>
        <v>-16.399999999999999</v>
      </c>
      <c r="M33" s="1323">
        <f>[2]rapkvart!K127</f>
        <v>-4</v>
      </c>
      <c r="N33" s="1323">
        <f>[2]rapkvart!L127</f>
        <v>-8</v>
      </c>
      <c r="O33" s="1323">
        <f>[2]rapkvart!M127</f>
        <v>-12.3</v>
      </c>
      <c r="P33" s="1323">
        <f>[2]rapkvart!N127</f>
        <v>-16.399999999999999</v>
      </c>
      <c r="R33" s="1323">
        <f>[2]rapkvart!AE127</f>
        <v>-4.5999999999999996</v>
      </c>
      <c r="S33" s="1323">
        <f>[2]rapkvart!AF127</f>
        <v>-4.7000000000000011</v>
      </c>
      <c r="T33" s="1323">
        <f>[2]rapkvart!AG127</f>
        <v>-4.6999999999999993</v>
      </c>
      <c r="U33" s="1323">
        <f>[2]rapkvart!AH127</f>
        <v>-4.6999999999999993</v>
      </c>
      <c r="V33" s="1323">
        <f>[2]rapkvart!AA127</f>
        <v>-4.0999999999999996</v>
      </c>
      <c r="W33" s="1323">
        <f>[2]rapkvart!AB127</f>
        <v>-4.0999999999999996</v>
      </c>
      <c r="X33" s="1323">
        <f>[2]rapkvart!AC127</f>
        <v>-4.1000000000000014</v>
      </c>
      <c r="Y33" s="1323">
        <f>[2]rapkvart!AD127</f>
        <v>-4.0999999999999979</v>
      </c>
      <c r="Z33" s="1323">
        <f>[2]rapkvart!W127</f>
        <v>-4</v>
      </c>
      <c r="AA33" s="1323">
        <f>[2]rapkvart!X127</f>
        <v>-4</v>
      </c>
      <c r="AB33" s="1323">
        <f>[2]rapkvart!Y127</f>
        <v>-4.3000000000000007</v>
      </c>
      <c r="AC33" s="1323">
        <f>[2]rapkvart!Z127</f>
        <v>-4.0999999999999979</v>
      </c>
      <c r="AD33" s="257"/>
      <c r="AE33" s="257"/>
      <c r="AF33" s="257"/>
      <c r="AG33" s="257"/>
      <c r="AH33" s="257"/>
      <c r="AI33" s="257"/>
      <c r="AJ33" s="257"/>
      <c r="AK33" s="787" t="str">
        <f t="shared" si="7"/>
        <v>Amortering av lån</v>
      </c>
      <c r="AL33" s="472"/>
      <c r="AM33" s="1256">
        <f t="shared" si="10"/>
        <v>-4</v>
      </c>
      <c r="AN33" s="1257">
        <f t="shared" si="11"/>
        <v>-4.0999999999999996</v>
      </c>
      <c r="AO33" s="1256">
        <f t="shared" si="12"/>
        <v>-8</v>
      </c>
      <c r="AP33" s="1257">
        <f t="shared" si="13"/>
        <v>-8.1999999999999993</v>
      </c>
      <c r="AQ33" s="1256">
        <f t="shared" si="14"/>
        <v>-16.2</v>
      </c>
      <c r="AR33" s="1257">
        <f t="shared" si="15"/>
        <v>-16.399999999999999</v>
      </c>
      <c r="BN33" s="2249" t="str">
        <f>+[2]rapkvart!$A127</f>
        <v>Repayment of loans</v>
      </c>
      <c r="BO33" s="1593"/>
      <c r="BP33" s="2250">
        <f t="shared" si="21"/>
        <v>-4</v>
      </c>
      <c r="BQ33" s="2251">
        <f t="shared" si="21"/>
        <v>-4.0999999999999996</v>
      </c>
      <c r="BR33" s="2250">
        <f t="shared" si="21"/>
        <v>-8</v>
      </c>
      <c r="BS33" s="2251">
        <f t="shared" si="21"/>
        <v>-8.1999999999999993</v>
      </c>
      <c r="BT33" s="2250">
        <f t="shared" si="17"/>
        <v>-16.2</v>
      </c>
      <c r="BU33" s="2251">
        <f t="shared" si="18"/>
        <v>-16.399999999999999</v>
      </c>
    </row>
    <row r="34" spans="3:73" ht="9" customHeight="1" x14ac:dyDescent="0.15">
      <c r="C34" s="772" t="str">
        <f>+[2]rapkvart!$B128</f>
        <v>Amortering av leasingskuld</v>
      </c>
      <c r="D34" s="772"/>
      <c r="E34" s="1326">
        <f>[2]rapkvart!S128</f>
        <v>-3.3</v>
      </c>
      <c r="F34" s="1326">
        <f>[2]rapkvart!T128</f>
        <v>-6</v>
      </c>
      <c r="G34" s="1326">
        <f>[2]rapkvart!U128</f>
        <v>-9.3000000000000007</v>
      </c>
      <c r="H34" s="1326">
        <f>[2]rapkvart!V128</f>
        <v>-13.6</v>
      </c>
      <c r="I34" s="1326">
        <f>[2]rapkvart!O128</f>
        <v>-2.1</v>
      </c>
      <c r="J34" s="1326">
        <f>[2]rapkvart!P128</f>
        <v>-5.4</v>
      </c>
      <c r="K34" s="1326">
        <f>[2]rapkvart!Q128</f>
        <v>-8.8000000000000007</v>
      </c>
      <c r="L34" s="1326">
        <f>[2]rapkvart!R128</f>
        <v>-12.3</v>
      </c>
      <c r="M34" s="1326">
        <f>[2]rapkvart!K128</f>
        <v>-2.7</v>
      </c>
      <c r="N34" s="1326">
        <f>[2]rapkvart!L128</f>
        <v>-6.1</v>
      </c>
      <c r="O34" s="1326">
        <f>[2]rapkvart!M128</f>
        <v>-8.8000000000000007</v>
      </c>
      <c r="P34" s="1326">
        <f>[2]rapkvart!N128</f>
        <v>-12.3</v>
      </c>
      <c r="R34" s="1326">
        <f>[2]rapkvart!AE128</f>
        <v>-3.3</v>
      </c>
      <c r="S34" s="1326">
        <f>[2]rapkvart!AF128</f>
        <v>-2.7</v>
      </c>
      <c r="T34" s="1326">
        <f>[2]rapkvart!AG128</f>
        <v>-3.3000000000000007</v>
      </c>
      <c r="U34" s="1326">
        <f>[2]rapkvart!AH128</f>
        <v>-4.2999999999999989</v>
      </c>
      <c r="V34" s="1326">
        <f>[2]rapkvart!AA128</f>
        <v>-2.1</v>
      </c>
      <c r="W34" s="1326">
        <f>[2]rapkvart!AB128</f>
        <v>-3.3000000000000003</v>
      </c>
      <c r="X34" s="1326">
        <f>[2]rapkvart!AC128</f>
        <v>-3.4000000000000004</v>
      </c>
      <c r="Y34" s="1326">
        <f>[2]rapkvart!AD128</f>
        <v>-3.5</v>
      </c>
      <c r="Z34" s="1326">
        <f>[2]rapkvart!W128</f>
        <v>-2.7</v>
      </c>
      <c r="AA34" s="1326">
        <f>[2]rapkvart!X128</f>
        <v>-3.3999999999999995</v>
      </c>
      <c r="AB34" s="1326">
        <f>[2]rapkvart!Y128</f>
        <v>-2.7000000000000011</v>
      </c>
      <c r="AC34" s="1326">
        <f>[2]rapkvart!Z128</f>
        <v>-3.5</v>
      </c>
      <c r="AD34" s="257"/>
      <c r="AE34" s="257"/>
      <c r="AF34" s="257"/>
      <c r="AG34" s="257"/>
      <c r="AH34" s="257"/>
      <c r="AI34" s="257"/>
      <c r="AJ34" s="257"/>
      <c r="AK34" s="785" t="str">
        <f t="shared" si="7"/>
        <v>Amortering av leasingskuld</v>
      </c>
      <c r="AL34" s="785"/>
      <c r="AM34" s="1259">
        <f t="shared" si="10"/>
        <v>-3.3999999999999995</v>
      </c>
      <c r="AN34" s="1260">
        <f t="shared" si="11"/>
        <v>-3.3000000000000003</v>
      </c>
      <c r="AO34" s="1259">
        <f t="shared" si="12"/>
        <v>-6.1</v>
      </c>
      <c r="AP34" s="1260">
        <f t="shared" si="13"/>
        <v>-5.4</v>
      </c>
      <c r="AQ34" s="1259">
        <f t="shared" si="14"/>
        <v>-13</v>
      </c>
      <c r="AR34" s="1260">
        <f t="shared" si="15"/>
        <v>-12.3</v>
      </c>
      <c r="BN34" s="2243" t="str">
        <f>+[2]rapkvart!$A128</f>
        <v>Repayment of lease debts</v>
      </c>
      <c r="BO34" s="2243"/>
      <c r="BP34" s="2244">
        <f t="shared" si="21"/>
        <v>-3.3999999999999995</v>
      </c>
      <c r="BQ34" s="2245">
        <f t="shared" si="21"/>
        <v>-3.3000000000000003</v>
      </c>
      <c r="BR34" s="2244">
        <f t="shared" si="21"/>
        <v>-6.1</v>
      </c>
      <c r="BS34" s="2245">
        <f t="shared" si="21"/>
        <v>-5.4</v>
      </c>
      <c r="BT34" s="2244">
        <f t="shared" si="17"/>
        <v>-13</v>
      </c>
      <c r="BU34" s="2245">
        <f t="shared" si="18"/>
        <v>-12.3</v>
      </c>
    </row>
    <row r="35" spans="3:73" ht="9" customHeight="1" x14ac:dyDescent="0.15">
      <c r="C35" s="788" t="str">
        <f>+[2]rapkvart!$B129</f>
        <v>Kassaflöde från finansieringsverksamheten</v>
      </c>
      <c r="D35" s="788"/>
      <c r="E35" s="1329">
        <f>[2]rapkvart!S129</f>
        <v>-7.8999999999999995</v>
      </c>
      <c r="F35" s="1329">
        <f>[2]rapkvart!T129</f>
        <v>-52.3</v>
      </c>
      <c r="G35" s="1329">
        <f>[2]rapkvart!U129</f>
        <v>-67.2</v>
      </c>
      <c r="H35" s="1329">
        <f>[2]rapkvart!V129</f>
        <v>-76.199999999999989</v>
      </c>
      <c r="I35" s="1329">
        <f>[2]rapkvart!O129</f>
        <v>-11.4</v>
      </c>
      <c r="J35" s="1329">
        <f>[2]rapkvart!P129</f>
        <v>-12.400000000000004</v>
      </c>
      <c r="K35" s="1329">
        <f>[2]rapkvart!Q129</f>
        <v>31.499999999999996</v>
      </c>
      <c r="L35" s="1329">
        <f>[2]rapkvart!R129</f>
        <v>53.3</v>
      </c>
      <c r="M35" s="1329">
        <f>[2]rapkvart!K129</f>
        <v>-47.800000000000004</v>
      </c>
      <c r="N35" s="1329">
        <f>[2]rapkvart!L129</f>
        <v>-120.99999999999999</v>
      </c>
      <c r="O35" s="1329">
        <f>[2]rapkvart!M129</f>
        <v>31.499999999999996</v>
      </c>
      <c r="P35" s="1329">
        <f>[2]rapkvart!N129</f>
        <v>53.3</v>
      </c>
      <c r="R35" s="1329">
        <f>[2]rapkvart!AE129</f>
        <v>-7.8999999999999995</v>
      </c>
      <c r="S35" s="1329">
        <f>[2]rapkvart!AF129</f>
        <v>-44.4</v>
      </c>
      <c r="T35" s="1329">
        <f>[2]rapkvart!AG129</f>
        <v>-14.900000000000006</v>
      </c>
      <c r="U35" s="1329">
        <f>[2]rapkvart!AH129</f>
        <v>-8.9999999999999858</v>
      </c>
      <c r="V35" s="1329">
        <f>[2]rapkvart!AA129</f>
        <v>-11.4</v>
      </c>
      <c r="W35" s="1329">
        <f>[2]rapkvart!AB129</f>
        <v>-1.0000000000000036</v>
      </c>
      <c r="X35" s="1329">
        <f>[2]rapkvart!AC129</f>
        <v>43.9</v>
      </c>
      <c r="Y35" s="1329">
        <f>[2]rapkvart!AD129</f>
        <v>21.8</v>
      </c>
      <c r="Z35" s="1329">
        <f>[2]rapkvart!W129</f>
        <v>-47.800000000000004</v>
      </c>
      <c r="AA35" s="1329">
        <f>[2]rapkvart!X129</f>
        <v>-73.199999999999989</v>
      </c>
      <c r="AB35" s="1329">
        <f>[2]rapkvart!Y129</f>
        <v>152.49999999999997</v>
      </c>
      <c r="AC35" s="1329">
        <f>[2]rapkvart!Z129</f>
        <v>21.8</v>
      </c>
      <c r="AD35" s="257"/>
      <c r="AE35" s="257"/>
      <c r="AF35" s="257"/>
      <c r="AG35" s="257"/>
      <c r="AH35" s="257"/>
      <c r="AI35" s="257"/>
      <c r="AJ35" s="257"/>
      <c r="AK35" s="788" t="str">
        <f t="shared" si="7"/>
        <v>Kassaflöde från finansieringsverksamheten</v>
      </c>
      <c r="AL35" s="788"/>
      <c r="AM35" s="1264">
        <f t="shared" si="10"/>
        <v>-73.199999999999989</v>
      </c>
      <c r="AN35" s="1265">
        <f t="shared" si="11"/>
        <v>-1.0000000000000036</v>
      </c>
      <c r="AO35" s="1264">
        <f t="shared" si="12"/>
        <v>-120.99999999999999</v>
      </c>
      <c r="AP35" s="1265">
        <f t="shared" si="13"/>
        <v>-12.400000000000004</v>
      </c>
      <c r="AQ35" s="1264">
        <f t="shared" si="14"/>
        <v>-55.29999999999999</v>
      </c>
      <c r="AR35" s="1265">
        <f t="shared" si="15"/>
        <v>53.3</v>
      </c>
      <c r="BN35" s="2257" t="str">
        <f>+[2]rapkvart!$A129</f>
        <v>Cash flow from financing activities</v>
      </c>
      <c r="BO35" s="2257"/>
      <c r="BP35" s="2258">
        <f t="shared" si="21"/>
        <v>-73.199999999999989</v>
      </c>
      <c r="BQ35" s="2259">
        <f t="shared" si="21"/>
        <v>-1.0000000000000036</v>
      </c>
      <c r="BR35" s="2258">
        <f t="shared" si="21"/>
        <v>-120.99999999999999</v>
      </c>
      <c r="BS35" s="2259">
        <f t="shared" si="21"/>
        <v>-12.400000000000004</v>
      </c>
      <c r="BT35" s="2258">
        <f t="shared" si="17"/>
        <v>-55.29999999999999</v>
      </c>
      <c r="BU35" s="2259">
        <f t="shared" si="18"/>
        <v>53.3</v>
      </c>
    </row>
    <row r="36" spans="3:73" ht="9" customHeight="1" x14ac:dyDescent="0.15">
      <c r="C36" s="257" t="str">
        <f>+[2]rapkvart!$B130</f>
        <v>Periodens kassaflöde</v>
      </c>
      <c r="D36" s="257"/>
      <c r="E36" s="1309">
        <f>[2]rapkvart!S130</f>
        <v>13.500000000000043</v>
      </c>
      <c r="F36" s="1309">
        <f>[2]rapkvart!T130</f>
        <v>18.200000000000145</v>
      </c>
      <c r="G36" s="1309">
        <f>[2]rapkvart!U130</f>
        <v>-72.10000000000008</v>
      </c>
      <c r="H36" s="1309">
        <f>[2]rapkvart!V130</f>
        <v>-52.399999999999849</v>
      </c>
      <c r="I36" s="1309">
        <f>[2]rapkvart!O130</f>
        <v>-18.79999999999994</v>
      </c>
      <c r="J36" s="1309">
        <f>[2]rapkvart!P130</f>
        <v>-30.100000000000072</v>
      </c>
      <c r="K36" s="1309">
        <f>[2]rapkvart!Q130</f>
        <v>-12.100000000000019</v>
      </c>
      <c r="L36" s="1309">
        <f>[2]rapkvart!R130</f>
        <v>-18.39999999999992</v>
      </c>
      <c r="M36" s="1309">
        <f>[2]rapkvart!K130</f>
        <v>-13.000000000000021</v>
      </c>
      <c r="N36" s="1309">
        <f>[2]rapkvart!L130</f>
        <v>-35.299999999999997</v>
      </c>
      <c r="O36" s="1309">
        <f>[2]rapkvart!M130</f>
        <v>-12.100000000000019</v>
      </c>
      <c r="P36" s="1309">
        <f>[2]rapkvart!N130</f>
        <v>-18.39999999999992</v>
      </c>
      <c r="R36" s="1309">
        <f>[2]rapkvart!AE130</f>
        <v>13.500000000000043</v>
      </c>
      <c r="S36" s="1309">
        <f>[2]rapkvart!AF130</f>
        <v>4.7000000000001023</v>
      </c>
      <c r="T36" s="1309">
        <f>[2]rapkvart!AG130</f>
        <v>-90.300000000000225</v>
      </c>
      <c r="U36" s="1309">
        <f>[2]rapkvart!AH130</f>
        <v>19.70000000000023</v>
      </c>
      <c r="V36" s="1309">
        <f>[2]rapkvart!AA130</f>
        <v>-18.79999999999994</v>
      </c>
      <c r="W36" s="1309">
        <f>[2]rapkvart!AB130</f>
        <v>-11.300000000000132</v>
      </c>
      <c r="X36" s="1309">
        <f>[2]rapkvart!AC130</f>
        <v>18.000000000000053</v>
      </c>
      <c r="Y36" s="1309">
        <f>[2]rapkvart!AD130</f>
        <v>-6.2999999999999012</v>
      </c>
      <c r="Z36" s="1309">
        <f>[2]rapkvart!W130</f>
        <v>-13.000000000000021</v>
      </c>
      <c r="AA36" s="1309">
        <f>[2]rapkvart!X130</f>
        <v>-22.299999999999976</v>
      </c>
      <c r="AB36" s="1309">
        <f>[2]rapkvart!Y130</f>
        <v>23.199999999999978</v>
      </c>
      <c r="AC36" s="1309">
        <f>[2]rapkvart!Z130</f>
        <v>-6.2999999999999012</v>
      </c>
      <c r="AD36" s="257"/>
      <c r="AE36" s="257"/>
      <c r="AF36" s="257"/>
      <c r="AG36" s="257"/>
      <c r="AH36" s="257"/>
      <c r="AI36" s="257"/>
      <c r="AJ36" s="257"/>
      <c r="AK36" s="257" t="str">
        <f t="shared" si="7"/>
        <v>Periodens kassaflöde</v>
      </c>
      <c r="AL36" s="257"/>
      <c r="AM36" s="1262">
        <f t="shared" si="10"/>
        <v>-22.299999999999976</v>
      </c>
      <c r="AN36" s="960">
        <f t="shared" si="11"/>
        <v>-11.300000000000132</v>
      </c>
      <c r="AO36" s="1262">
        <f t="shared" si="12"/>
        <v>-35.299999999999997</v>
      </c>
      <c r="AP36" s="960">
        <f t="shared" si="13"/>
        <v>-30.100000000000072</v>
      </c>
      <c r="AQ36" s="1262">
        <f t="shared" si="14"/>
        <v>-23.599999999999845</v>
      </c>
      <c r="AR36" s="960">
        <f t="shared" si="15"/>
        <v>-18.39999999999992</v>
      </c>
      <c r="BN36" s="2236" t="str">
        <f>+[2]rapkvart!$A130</f>
        <v>Cash flow for the period</v>
      </c>
      <c r="BO36" s="2236"/>
      <c r="BP36" s="2252">
        <f t="shared" si="21"/>
        <v>-22.299999999999976</v>
      </c>
      <c r="BQ36" s="2253">
        <f t="shared" si="21"/>
        <v>-11.300000000000132</v>
      </c>
      <c r="BR36" s="2252">
        <f t="shared" si="21"/>
        <v>-35.299999999999997</v>
      </c>
      <c r="BS36" s="2253">
        <f t="shared" si="21"/>
        <v>-30.100000000000072</v>
      </c>
      <c r="BT36" s="2252">
        <f t="shared" si="17"/>
        <v>-23.599999999999845</v>
      </c>
      <c r="BU36" s="2253">
        <f t="shared" si="18"/>
        <v>-18.39999999999992</v>
      </c>
    </row>
    <row r="37" spans="3:73" ht="9" customHeight="1" x14ac:dyDescent="0.15">
      <c r="C37" s="787"/>
      <c r="D37" s="787"/>
      <c r="E37" s="1328"/>
      <c r="F37" s="1328"/>
      <c r="G37" s="1328"/>
      <c r="H37" s="1328"/>
      <c r="I37" s="1328"/>
      <c r="J37" s="1328"/>
      <c r="K37" s="1328"/>
      <c r="L37" s="1328"/>
      <c r="M37" s="1328"/>
      <c r="N37" s="1328"/>
      <c r="O37" s="1328"/>
      <c r="P37" s="1328"/>
      <c r="R37" s="1328">
        <f>[2]rapkvart!AE131</f>
        <v>0</v>
      </c>
      <c r="S37" s="1328">
        <f>[2]rapkvart!AF131</f>
        <v>0</v>
      </c>
      <c r="T37" s="1328">
        <f>[2]rapkvart!AG131</f>
        <v>0</v>
      </c>
      <c r="U37" s="1328">
        <f>[2]rapkvart!AH131</f>
        <v>0</v>
      </c>
      <c r="V37" s="1328">
        <f>[2]rapkvart!AA131</f>
        <v>0</v>
      </c>
      <c r="W37" s="1328">
        <f>[2]rapkvart!AB131</f>
        <v>0</v>
      </c>
      <c r="X37" s="1328">
        <f>[2]rapkvart!AC131</f>
        <v>0</v>
      </c>
      <c r="Y37" s="1328">
        <f>[2]rapkvart!AD131</f>
        <v>0</v>
      </c>
      <c r="Z37" s="1328">
        <f>[2]rapkvart!W131</f>
        <v>0</v>
      </c>
      <c r="AA37" s="1328">
        <f>[2]rapkvart!X131</f>
        <v>0</v>
      </c>
      <c r="AB37" s="1328">
        <f>[2]rapkvart!Y131</f>
        <v>0</v>
      </c>
      <c r="AC37" s="1328">
        <f>[2]rapkvart!Z131</f>
        <v>0</v>
      </c>
      <c r="AD37" s="257"/>
      <c r="AE37" s="257"/>
      <c r="AF37" s="257"/>
      <c r="AG37" s="257"/>
      <c r="AH37" s="257"/>
      <c r="AI37" s="257"/>
      <c r="AJ37" s="257"/>
      <c r="AK37" s="1737"/>
      <c r="AL37" s="1737"/>
      <c r="AM37" s="1943"/>
      <c r="AN37" s="1738"/>
      <c r="AO37" s="1943"/>
      <c r="AP37" s="1738"/>
      <c r="AQ37" s="1943"/>
      <c r="AR37" s="1738"/>
      <c r="BN37" s="2237"/>
      <c r="BO37" s="2237"/>
      <c r="BP37" s="2238"/>
      <c r="BQ37" s="2239"/>
      <c r="BR37" s="2238"/>
      <c r="BS37" s="2239"/>
      <c r="BT37" s="2238"/>
      <c r="BU37" s="2239"/>
    </row>
    <row r="38" spans="3:73" ht="9" customHeight="1" x14ac:dyDescent="0.15">
      <c r="C38" s="787" t="str">
        <f>+[2]rapkvart!$B132</f>
        <v>Likvida medel vid periodens början</v>
      </c>
      <c r="D38" s="700"/>
      <c r="E38" s="1316">
        <f>[2]rapkvart!S132</f>
        <v>120.89999999999949</v>
      </c>
      <c r="F38" s="1316">
        <f>[2]rapkvart!T132</f>
        <v>120.89999999999949</v>
      </c>
      <c r="G38" s="1316">
        <f>[2]rapkvart!U132</f>
        <v>120.89999999999949</v>
      </c>
      <c r="H38" s="1316">
        <f>[2]rapkvart!V132</f>
        <v>120.89999999999949</v>
      </c>
      <c r="I38" s="1316">
        <f>[2]rapkvart!O132</f>
        <v>68.699999999999648</v>
      </c>
      <c r="J38" s="1316">
        <f>[2]rapkvart!P132</f>
        <v>68.699999999999648</v>
      </c>
      <c r="K38" s="1316">
        <f>[2]rapkvart!Q132</f>
        <v>68.699999999999648</v>
      </c>
      <c r="L38" s="1316">
        <f>[2]rapkvart!R132</f>
        <v>68.699999999999648</v>
      </c>
      <c r="M38" s="1316">
        <f>[2]rapkvart!K132</f>
        <v>49.99999999999973</v>
      </c>
      <c r="N38" s="1316">
        <f>[2]rapkvart!L132</f>
        <v>50</v>
      </c>
      <c r="O38" s="1316">
        <f>[2]rapkvart!M132</f>
        <v>49.99999999999973</v>
      </c>
      <c r="P38" s="1316">
        <f>[2]rapkvart!N132</f>
        <v>49.99999999999973</v>
      </c>
      <c r="R38" s="1316">
        <f>[2]rapkvart!AE132</f>
        <v>120.89999999999949</v>
      </c>
      <c r="S38" s="1316">
        <f>[2]rapkvart!AF132</f>
        <v>136.19999999999953</v>
      </c>
      <c r="T38" s="1316">
        <f>[2]rapkvart!AG132</f>
        <v>140.99999999999963</v>
      </c>
      <c r="U38" s="1316">
        <f>[2]rapkvart!AH132</f>
        <v>49.099999999999405</v>
      </c>
      <c r="V38" s="1316">
        <f>[2]rapkvart!AA132</f>
        <v>68.699999999999648</v>
      </c>
      <c r="W38" s="1316">
        <f>[2]rapkvart!AB132</f>
        <v>49.899999999999707</v>
      </c>
      <c r="X38" s="1316">
        <f>[2]rapkvart!AC132</f>
        <v>38.499999999999574</v>
      </c>
      <c r="Y38" s="1316">
        <f>[2]rapkvart!AD132</f>
        <v>56.499999999999631</v>
      </c>
      <c r="Z38" s="1316">
        <f>[2]rapkvart!W132</f>
        <v>49.99999999999973</v>
      </c>
      <c r="AA38" s="1316">
        <f>[2]rapkvart!X132</f>
        <v>36.999999999999709</v>
      </c>
      <c r="AB38" s="1316">
        <f>[2]rapkvart!Y132</f>
        <v>14.699999999999733</v>
      </c>
      <c r="AC38" s="1316">
        <f>[2]rapkvart!Z132</f>
        <v>37.799999999999706</v>
      </c>
      <c r="AD38" s="257"/>
      <c r="AE38" s="1446" t="s">
        <v>715</v>
      </c>
      <c r="AF38" s="257"/>
      <c r="AG38" s="257"/>
      <c r="AH38" s="257"/>
      <c r="AI38" s="257"/>
      <c r="AJ38" s="257"/>
      <c r="AK38" s="472" t="str">
        <f t="shared" si="7"/>
        <v>Likvida medel vid periodens början</v>
      </c>
      <c r="AL38" s="700"/>
      <c r="AM38" s="1258">
        <f t="shared" si="10"/>
        <v>36.999999999999709</v>
      </c>
      <c r="AN38" s="1251">
        <f t="shared" si="11"/>
        <v>49.899999999999707</v>
      </c>
      <c r="AO38" s="1258">
        <f t="shared" ref="AO38" si="22">N38</f>
        <v>50</v>
      </c>
      <c r="AP38" s="1251">
        <f t="shared" ref="AP38" si="23">J38</f>
        <v>68.699999999999648</v>
      </c>
      <c r="AQ38" s="1258">
        <f>X38</f>
        <v>38.499999999999574</v>
      </c>
      <c r="AR38" s="1251">
        <f t="shared" si="15"/>
        <v>68.699999999999648</v>
      </c>
      <c r="AS38" s="578" t="s">
        <v>546</v>
      </c>
      <c r="BN38" s="1593" t="str">
        <f>+[2]rapkvart!$A132</f>
        <v>Liquid assets, opening balance</v>
      </c>
      <c r="BO38" s="2260"/>
      <c r="BP38" s="2242">
        <f t="shared" ref="BP38:BS41" si="24">AM38</f>
        <v>36.999999999999709</v>
      </c>
      <c r="BQ38" s="1731">
        <f t="shared" si="24"/>
        <v>49.899999999999707</v>
      </c>
      <c r="BR38" s="2242">
        <f t="shared" si="24"/>
        <v>50</v>
      </c>
      <c r="BS38" s="1731">
        <f t="shared" si="24"/>
        <v>68.699999999999648</v>
      </c>
      <c r="BT38" s="2242">
        <f t="shared" si="17"/>
        <v>38.499999999999574</v>
      </c>
      <c r="BU38" s="1731">
        <f t="shared" si="18"/>
        <v>68.699999999999648</v>
      </c>
    </row>
    <row r="39" spans="3:73" ht="9" customHeight="1" x14ac:dyDescent="0.15">
      <c r="C39" s="772" t="str">
        <f>+[2]rapkvart!$B133</f>
        <v>Kursdifferens i likvida medel</v>
      </c>
      <c r="D39" s="271"/>
      <c r="E39" s="1326">
        <f>[2]rapkvart!S133</f>
        <v>1.8</v>
      </c>
      <c r="F39" s="1326">
        <f>[2]rapkvart!T133</f>
        <v>1.9</v>
      </c>
      <c r="G39" s="1326">
        <f>[2]rapkvart!U133</f>
        <v>0.3</v>
      </c>
      <c r="H39" s="1326">
        <f>[2]rapkvart!V133</f>
        <v>0.2</v>
      </c>
      <c r="I39" s="1326">
        <f>[2]rapkvart!O133</f>
        <v>0</v>
      </c>
      <c r="J39" s="1326">
        <f>[2]rapkvart!P133</f>
        <v>-0.1</v>
      </c>
      <c r="K39" s="1326">
        <f>[2]rapkvart!Q133</f>
        <v>-0.1</v>
      </c>
      <c r="L39" s="1326">
        <f>[2]rapkvart!R133</f>
        <v>-0.3</v>
      </c>
      <c r="M39" s="1326">
        <f>[2]rapkvart!K133</f>
        <v>0</v>
      </c>
      <c r="N39" s="1326">
        <f>[2]rapkvart!L133</f>
        <v>0</v>
      </c>
      <c r="O39" s="1326">
        <f>[2]rapkvart!M133</f>
        <v>-0.1</v>
      </c>
      <c r="P39" s="1326">
        <f>[2]rapkvart!N133</f>
        <v>-0.3</v>
      </c>
      <c r="R39" s="1326">
        <f>[2]rapkvart!AE133</f>
        <v>1.8</v>
      </c>
      <c r="S39" s="1326">
        <f>[2]rapkvart!AF133</f>
        <v>9.9999999999999867E-2</v>
      </c>
      <c r="T39" s="1326">
        <f>[2]rapkvart!AG133</f>
        <v>-1.5999999999999999</v>
      </c>
      <c r="U39" s="1326">
        <f>[2]rapkvart!AH133</f>
        <v>-9.9999999999999978E-2</v>
      </c>
      <c r="V39" s="1326">
        <f>[2]rapkvart!AA133</f>
        <v>0</v>
      </c>
      <c r="W39" s="1326">
        <f>[2]rapkvart!AB133</f>
        <v>-0.1</v>
      </c>
      <c r="X39" s="1326">
        <f>[2]rapkvart!AC133</f>
        <v>0</v>
      </c>
      <c r="Y39" s="1326">
        <f>[2]rapkvart!AD133</f>
        <v>-0.19999999999999998</v>
      </c>
      <c r="Z39" s="1326">
        <f>[2]rapkvart!W133</f>
        <v>0</v>
      </c>
      <c r="AA39" s="1326">
        <f>[2]rapkvart!X133</f>
        <v>0</v>
      </c>
      <c r="AB39" s="1326">
        <f>[2]rapkvart!Y133</f>
        <v>-0.1</v>
      </c>
      <c r="AC39" s="1326">
        <f>[2]rapkvart!Z133</f>
        <v>-0.19999999999999998</v>
      </c>
      <c r="AD39" s="257"/>
      <c r="AE39" s="1446" t="s">
        <v>715</v>
      </c>
      <c r="AF39" s="257"/>
      <c r="AG39" s="257"/>
      <c r="AH39" s="257"/>
      <c r="AI39" s="257"/>
      <c r="AJ39" s="257"/>
      <c r="AK39" s="785" t="str">
        <f t="shared" si="7"/>
        <v>Kursdifferens i likvida medel</v>
      </c>
      <c r="AL39" s="1747"/>
      <c r="AM39" s="1259">
        <f t="shared" si="10"/>
        <v>0</v>
      </c>
      <c r="AN39" s="1260">
        <f t="shared" si="11"/>
        <v>-0.1</v>
      </c>
      <c r="AO39" s="1259">
        <f t="shared" ref="AO39:AO43" si="25">N39</f>
        <v>0</v>
      </c>
      <c r="AP39" s="1260">
        <f t="shared" ref="AP39:AP43" si="26">J39</f>
        <v>-0.1</v>
      </c>
      <c r="AQ39" s="1259">
        <f>SUM(X39:AA39)</f>
        <v>-0.19999999999999998</v>
      </c>
      <c r="AR39" s="1260">
        <f t="shared" si="15"/>
        <v>-0.3</v>
      </c>
      <c r="BN39" s="2243" t="str">
        <f>+[2]rapkvart!$A133</f>
        <v>Translation differences in liquid assets</v>
      </c>
      <c r="BO39" s="2261"/>
      <c r="BP39" s="2244">
        <f t="shared" si="24"/>
        <v>0</v>
      </c>
      <c r="BQ39" s="2245">
        <f t="shared" si="24"/>
        <v>-0.1</v>
      </c>
      <c r="BR39" s="2244">
        <f t="shared" si="24"/>
        <v>0</v>
      </c>
      <c r="BS39" s="2245">
        <f t="shared" si="24"/>
        <v>-0.1</v>
      </c>
      <c r="BT39" s="2244">
        <f t="shared" si="17"/>
        <v>-0.19999999999999998</v>
      </c>
      <c r="BU39" s="2245">
        <f t="shared" si="18"/>
        <v>-0.3</v>
      </c>
    </row>
    <row r="40" spans="3:73" ht="9" customHeight="1" x14ac:dyDescent="0.15">
      <c r="C40" s="515" t="str">
        <f>+[2]rapkvart!$B134</f>
        <v>Likvida medel vid periodens slut</v>
      </c>
      <c r="D40" s="257"/>
      <c r="E40" s="1327">
        <f>[2]rapkvart!S134</f>
        <v>136.19999999999953</v>
      </c>
      <c r="F40" s="1327">
        <f>[2]rapkvart!T134</f>
        <v>140.99999999999963</v>
      </c>
      <c r="G40" s="1327">
        <f>[2]rapkvart!U134</f>
        <v>49.099999999999412</v>
      </c>
      <c r="H40" s="1327">
        <f>[2]rapkvart!V134</f>
        <v>68.699999999999648</v>
      </c>
      <c r="I40" s="1327">
        <f>[2]rapkvart!O134</f>
        <v>49.899999999999707</v>
      </c>
      <c r="J40" s="1327">
        <f>[2]rapkvart!P134</f>
        <v>38.499999999999574</v>
      </c>
      <c r="K40" s="1327">
        <f>[2]rapkvart!Q134</f>
        <v>56.499999999999623</v>
      </c>
      <c r="L40" s="1327">
        <f>[2]rapkvart!R134</f>
        <v>49.99999999999973</v>
      </c>
      <c r="M40" s="1327">
        <f>[2]rapkvart!K134</f>
        <v>36.999999999999709</v>
      </c>
      <c r="N40" s="1327">
        <f>[2]rapkvart!L134</f>
        <v>14.700000000000003</v>
      </c>
      <c r="O40" s="1327">
        <f>[2]rapkvart!M134</f>
        <v>37.799999999999706</v>
      </c>
      <c r="P40" s="1327">
        <f>[2]rapkvart!N134</f>
        <v>31.299999999999809</v>
      </c>
      <c r="R40" s="1327">
        <f>[2]rapkvart!AE134</f>
        <v>136.19999999999953</v>
      </c>
      <c r="S40" s="1327">
        <f>[2]rapkvart!AF134</f>
        <v>140.99999999999963</v>
      </c>
      <c r="T40" s="1327">
        <f>[2]rapkvart!AG134</f>
        <v>49.099999999999405</v>
      </c>
      <c r="U40" s="1327">
        <f>[2]rapkvart!AH134</f>
        <v>68.699999999999648</v>
      </c>
      <c r="V40" s="1327">
        <f>[2]rapkvart!AA134</f>
        <v>49.899999999999707</v>
      </c>
      <c r="W40" s="1327">
        <f>[2]rapkvart!AB134</f>
        <v>38.499999999999574</v>
      </c>
      <c r="X40" s="1327">
        <f>[2]rapkvart!AC134</f>
        <v>56.499999999999631</v>
      </c>
      <c r="Y40" s="1327">
        <f>[2]rapkvart!AD134</f>
        <v>49.99999999999973</v>
      </c>
      <c r="Z40" s="1327">
        <f>[2]rapkvart!W134</f>
        <v>36.999999999999709</v>
      </c>
      <c r="AA40" s="1327">
        <f>[2]rapkvart!X134</f>
        <v>14.699999999999733</v>
      </c>
      <c r="AB40" s="1327">
        <f>[2]rapkvart!Y134</f>
        <v>37.799999999999706</v>
      </c>
      <c r="AC40" s="1327">
        <f>[2]rapkvart!Z134</f>
        <v>31.299999999999805</v>
      </c>
      <c r="AD40" s="257"/>
      <c r="AE40" s="1446" t="s">
        <v>715</v>
      </c>
      <c r="AF40" s="257"/>
      <c r="AG40" s="257"/>
      <c r="AH40" s="257"/>
      <c r="AI40" s="257"/>
      <c r="AJ40" s="257"/>
      <c r="AK40" s="515" t="str">
        <f t="shared" si="7"/>
        <v>Likvida medel vid periodens slut</v>
      </c>
      <c r="AL40" s="257"/>
      <c r="AM40" s="1262">
        <f t="shared" si="10"/>
        <v>14.699999999999733</v>
      </c>
      <c r="AN40" s="960">
        <f t="shared" si="11"/>
        <v>38.499999999999574</v>
      </c>
      <c r="AO40" s="1262">
        <f t="shared" si="25"/>
        <v>14.700000000000003</v>
      </c>
      <c r="AP40" s="960">
        <f t="shared" si="26"/>
        <v>38.499999999999574</v>
      </c>
      <c r="AQ40" s="1262">
        <f>SUM(AQ36:AQ39)</f>
        <v>14.699999999999729</v>
      </c>
      <c r="AR40" s="960">
        <f t="shared" si="15"/>
        <v>49.99999999999973</v>
      </c>
      <c r="AS40" s="578" t="s">
        <v>546</v>
      </c>
      <c r="BN40" s="2262" t="str">
        <f>+[2]rapkvart!$A134</f>
        <v>Liquid assets, closing balance</v>
      </c>
      <c r="BO40" s="2236"/>
      <c r="BP40" s="2252">
        <f t="shared" si="24"/>
        <v>14.699999999999733</v>
      </c>
      <c r="BQ40" s="2253">
        <f>AN40</f>
        <v>38.499999999999574</v>
      </c>
      <c r="BR40" s="2252">
        <f t="shared" si="24"/>
        <v>14.700000000000003</v>
      </c>
      <c r="BS40" s="2253">
        <f>AP40</f>
        <v>38.499999999999574</v>
      </c>
      <c r="BT40" s="2252">
        <f t="shared" si="17"/>
        <v>14.699999999999729</v>
      </c>
      <c r="BU40" s="2253">
        <f t="shared" si="18"/>
        <v>49.99999999999973</v>
      </c>
    </row>
    <row r="41" spans="3:73" ht="9" customHeight="1" x14ac:dyDescent="0.15">
      <c r="C41" s="259" t="str">
        <f>+[2]rapkvart!$B135</f>
        <v>Likviditetsreserv</v>
      </c>
      <c r="E41" s="1328">
        <f>[2]rapkvart!S135</f>
        <v>328.9</v>
      </c>
      <c r="F41" s="1328">
        <f>[2]rapkvart!T135</f>
        <v>341.4</v>
      </c>
      <c r="G41" s="1328">
        <f>[2]rapkvart!U135</f>
        <v>251.7</v>
      </c>
      <c r="H41" s="1328">
        <f>[2]rapkvart!V135</f>
        <v>273.2</v>
      </c>
      <c r="I41" s="1328">
        <f>[2]rapkvart!O135</f>
        <v>254.6</v>
      </c>
      <c r="J41" s="1328">
        <f>[2]rapkvart!P135</f>
        <v>203</v>
      </c>
      <c r="K41" s="1328">
        <f>[2]rapkvart!Q135</f>
        <v>172.3</v>
      </c>
      <c r="L41" s="1328">
        <f>[2]rapkvart!R135</f>
        <v>134</v>
      </c>
      <c r="M41" s="1328">
        <f>[2]rapkvart!K135</f>
        <v>151.30000000000001</v>
      </c>
      <c r="N41" s="1328">
        <f>[2]rapkvart!L135</f>
        <v>196.5</v>
      </c>
      <c r="O41" s="1328">
        <f>[2]rapkvart!M135</f>
        <v>172.3</v>
      </c>
      <c r="P41" s="1328">
        <f>[2]rapkvart!N135</f>
        <v>134</v>
      </c>
      <c r="R41" s="1328">
        <f>[2]rapkvart!AE135</f>
        <v>0</v>
      </c>
      <c r="S41" s="1328">
        <f>[2]rapkvart!AF135</f>
        <v>0</v>
      </c>
      <c r="T41" s="1328">
        <f>[2]rapkvart!AG135</f>
        <v>0</v>
      </c>
      <c r="U41" s="1328">
        <f>[2]rapkvart!AH135</f>
        <v>0</v>
      </c>
      <c r="V41" s="1328">
        <f>[2]rapkvart!AA135</f>
        <v>0</v>
      </c>
      <c r="W41" s="1328">
        <f>[2]rapkvart!AB135</f>
        <v>0</v>
      </c>
      <c r="X41" s="1328">
        <f>[2]rapkvart!AC135</f>
        <v>0</v>
      </c>
      <c r="Y41" s="1328">
        <f>[2]rapkvart!AD135</f>
        <v>0</v>
      </c>
      <c r="Z41" s="1328">
        <f>[2]rapkvart!W135</f>
        <v>0</v>
      </c>
      <c r="AA41" s="1328">
        <f>[2]rapkvart!X135</f>
        <v>0</v>
      </c>
      <c r="AB41" s="1328">
        <f>[2]rapkvart!Y135</f>
        <v>0</v>
      </c>
      <c r="AC41" s="1328">
        <f>[2]rapkvart!Z135</f>
        <v>0</v>
      </c>
      <c r="AD41" s="233"/>
      <c r="AE41" s="1446" t="s">
        <v>715</v>
      </c>
      <c r="AF41" s="233"/>
      <c r="AG41" s="233"/>
      <c r="AH41" s="233"/>
      <c r="AI41" s="233"/>
      <c r="AJ41" s="233"/>
      <c r="AK41" s="259" t="str">
        <f t="shared" si="7"/>
        <v>Likviditetsreserv</v>
      </c>
      <c r="AM41" s="1263"/>
      <c r="AN41" s="1252"/>
      <c r="AO41" s="1263">
        <f>N41</f>
        <v>196.5</v>
      </c>
      <c r="AP41" s="1252">
        <f t="shared" si="26"/>
        <v>203</v>
      </c>
      <c r="AQ41" s="1263"/>
      <c r="AR41" s="1252">
        <f>L41</f>
        <v>134</v>
      </c>
      <c r="BN41" s="259" t="str">
        <f>+[2]rapkvart!$A135</f>
        <v>Liquidity reserve</v>
      </c>
      <c r="BP41" s="1263"/>
      <c r="BQ41" s="1252"/>
      <c r="BR41" s="1263">
        <f t="shared" si="24"/>
        <v>196.5</v>
      </c>
      <c r="BS41" s="1252">
        <f t="shared" si="24"/>
        <v>203</v>
      </c>
      <c r="BT41" s="1263"/>
      <c r="BU41" s="1252">
        <f t="shared" si="18"/>
        <v>134</v>
      </c>
    </row>
    <row r="42" spans="3:73" ht="9" customHeight="1" x14ac:dyDescent="0.15">
      <c r="C42" s="259" t="str">
        <f>+[2]rapkvart!$B136</f>
        <v>Kassaflöde från avvecklad verksamhet</v>
      </c>
      <c r="E42" s="1328">
        <f>[2]rapkvart!S136</f>
        <v>0</v>
      </c>
      <c r="F42" s="1328">
        <f>[2]rapkvart!T136</f>
        <v>0</v>
      </c>
      <c r="G42" s="1328">
        <f>[2]rapkvart!U136</f>
        <v>0</v>
      </c>
      <c r="H42" s="1328">
        <f>[2]rapkvart!V136</f>
        <v>0</v>
      </c>
      <c r="I42" s="1328">
        <f>[2]rapkvart!O136</f>
        <v>-14.4</v>
      </c>
      <c r="J42" s="1328">
        <f>[2]rapkvart!P136</f>
        <v>-49.1</v>
      </c>
      <c r="K42" s="1328">
        <f>[2]rapkvart!Q136</f>
        <v>-67.099999999999994</v>
      </c>
      <c r="L42" s="1328">
        <f>[2]rapkvart!R136</f>
        <v>-72.5</v>
      </c>
      <c r="M42" s="1328">
        <f>[2]rapkvart!K136</f>
        <v>31.2</v>
      </c>
      <c r="N42" s="1328">
        <f>[2]rapkvart!L136</f>
        <v>33.704999999999998</v>
      </c>
      <c r="O42" s="1328">
        <f>[2]rapkvart!M136</f>
        <v>-67.099999999999994</v>
      </c>
      <c r="P42" s="1328">
        <f>[2]rapkvart!N136</f>
        <v>-72.5</v>
      </c>
      <c r="R42" s="1328">
        <f>[2]rapkvart!AE136</f>
        <v>0</v>
      </c>
      <c r="S42" s="1328">
        <f>[2]rapkvart!AF136</f>
        <v>0</v>
      </c>
      <c r="T42" s="1328">
        <f>[2]rapkvart!AG136</f>
        <v>0</v>
      </c>
      <c r="U42" s="1328">
        <f>[2]rapkvart!AH136</f>
        <v>0</v>
      </c>
      <c r="V42" s="1328">
        <f>[2]rapkvart!AA136</f>
        <v>-14.4</v>
      </c>
      <c r="W42" s="1328">
        <f>[2]rapkvart!AB136</f>
        <v>-34.700000000000003</v>
      </c>
      <c r="X42" s="1328">
        <f>[2]rapkvart!AC136</f>
        <v>-17.999999999999993</v>
      </c>
      <c r="Y42" s="1328">
        <f>[2]rapkvart!AD136</f>
        <v>-5.4000000000000057</v>
      </c>
      <c r="Z42" s="1328">
        <f>[2]rapkvart!W136</f>
        <v>31.2</v>
      </c>
      <c r="AA42" s="1328">
        <f>[2]rapkvart!X136</f>
        <v>2.504999999999999</v>
      </c>
      <c r="AB42" s="1328">
        <f>[2]rapkvart!Y136</f>
        <v>-100.80499999999999</v>
      </c>
      <c r="AC42" s="1328">
        <f>[2]rapkvart!Z136</f>
        <v>-5.4000000000000057</v>
      </c>
      <c r="AD42" s="257"/>
      <c r="AE42" s="257"/>
      <c r="AF42" s="257"/>
      <c r="AG42" s="257"/>
      <c r="AH42" s="257"/>
      <c r="AI42" s="257"/>
      <c r="AJ42" s="257"/>
      <c r="AK42" s="259" t="str">
        <f t="shared" si="7"/>
        <v>Kassaflöde från avvecklad verksamhet</v>
      </c>
      <c r="AM42" s="1263">
        <f t="shared" si="10"/>
        <v>2.504999999999999</v>
      </c>
      <c r="AN42" s="1252">
        <f>W42</f>
        <v>-34.700000000000003</v>
      </c>
      <c r="AO42" s="1263">
        <f t="shared" si="25"/>
        <v>33.704999999999998</v>
      </c>
      <c r="AP42" s="1252">
        <f t="shared" si="26"/>
        <v>-49.1</v>
      </c>
      <c r="AQ42" s="1263">
        <f t="shared" ref="AQ42" si="27">SUM(X42:AA42)</f>
        <v>10.305</v>
      </c>
      <c r="AR42" s="1252">
        <f t="shared" si="15"/>
        <v>-72.5</v>
      </c>
      <c r="BN42" s="259" t="str">
        <f>+[2]rapkvart!$A136</f>
        <v>Cashflow from discontinued operations</v>
      </c>
      <c r="BP42" s="1263">
        <f t="shared" ref="BP42:BS43" si="28">AM42</f>
        <v>2.504999999999999</v>
      </c>
      <c r="BQ42" s="1252">
        <f t="shared" si="28"/>
        <v>-34.700000000000003</v>
      </c>
      <c r="BR42" s="1263">
        <f t="shared" si="28"/>
        <v>33.704999999999998</v>
      </c>
      <c r="BS42" s="1252">
        <f t="shared" si="28"/>
        <v>-49.1</v>
      </c>
      <c r="BT42" s="1263">
        <f t="shared" si="17"/>
        <v>10.305</v>
      </c>
      <c r="BU42" s="1252">
        <f t="shared" si="18"/>
        <v>-72.5</v>
      </c>
    </row>
    <row r="43" spans="3:73" ht="9" customHeight="1" x14ac:dyDescent="0.15">
      <c r="C43" s="259" t="str">
        <f>+[2]rapkvart!$B137</f>
        <v>Likvida medel i avvecklad verksamhet vid periodens slut</v>
      </c>
      <c r="E43" s="1328">
        <f>[2]rapkvart!S137</f>
        <v>0</v>
      </c>
      <c r="F43" s="1328">
        <f>[2]rapkvart!T137</f>
        <v>0</v>
      </c>
      <c r="G43" s="1328">
        <f>[2]rapkvart!U137</f>
        <v>0</v>
      </c>
      <c r="H43" s="1328">
        <f>[2]rapkvart!V137</f>
        <v>0</v>
      </c>
      <c r="I43" s="1328">
        <f>[2]rapkvart!O137</f>
        <v>12</v>
      </c>
      <c r="J43" s="1328">
        <f>[2]rapkvart!P137</f>
        <v>7.3</v>
      </c>
      <c r="K43" s="1328">
        <f>[2]rapkvart!Q137</f>
        <v>21.2</v>
      </c>
      <c r="L43" s="1328">
        <f>[2]rapkvart!R137</f>
        <v>11.5</v>
      </c>
      <c r="M43" s="1328">
        <f>[2]rapkvart!K137</f>
        <v>6.6</v>
      </c>
      <c r="N43" s="1328">
        <f>[2]rapkvart!L137</f>
        <v>3.3</v>
      </c>
      <c r="O43" s="1328">
        <f>[2]rapkvart!M137</f>
        <v>21.2</v>
      </c>
      <c r="P43" s="1328">
        <f>[2]rapkvart!N137</f>
        <v>11.5</v>
      </c>
      <c r="R43" s="1328">
        <f>[2]rapkvart!AE137</f>
        <v>0</v>
      </c>
      <c r="S43" s="1328">
        <f>[2]rapkvart!AF137</f>
        <v>0</v>
      </c>
      <c r="T43" s="1328">
        <f>[2]rapkvart!AG137</f>
        <v>0</v>
      </c>
      <c r="U43" s="1328">
        <f>[2]rapkvart!AH137</f>
        <v>0</v>
      </c>
      <c r="V43" s="1328">
        <f>[2]rapkvart!AA137</f>
        <v>12</v>
      </c>
      <c r="W43" s="1328">
        <f>[2]rapkvart!AB137</f>
        <v>7.3</v>
      </c>
      <c r="X43" s="1328">
        <f>[2]rapkvart!AC137</f>
        <v>21.2</v>
      </c>
      <c r="Y43" s="1328">
        <f>[2]rapkvart!AD137</f>
        <v>11.5</v>
      </c>
      <c r="Z43" s="1328">
        <f>[2]rapkvart!W137</f>
        <v>6.6</v>
      </c>
      <c r="AA43" s="1328">
        <f>[2]rapkvart!X137</f>
        <v>3.3</v>
      </c>
      <c r="AB43" s="1328">
        <f>[2]rapkvart!Y137</f>
        <v>21.2</v>
      </c>
      <c r="AC43" s="1328">
        <f>[2]rapkvart!Z137</f>
        <v>11.5</v>
      </c>
      <c r="AD43" s="257"/>
      <c r="AE43" s="1446" t="s">
        <v>715</v>
      </c>
      <c r="AF43" s="257"/>
      <c r="AG43" s="257"/>
      <c r="AH43" s="257"/>
      <c r="AI43" s="257"/>
      <c r="AJ43" s="257"/>
      <c r="AK43" s="259" t="str">
        <f t="shared" si="7"/>
        <v>Likvida medel i avvecklad verksamhet vid periodens slut</v>
      </c>
      <c r="AM43" s="1263">
        <f t="shared" si="10"/>
        <v>3.3</v>
      </c>
      <c r="AN43" s="1252">
        <f t="shared" si="11"/>
        <v>7.3</v>
      </c>
      <c r="AO43" s="1263">
        <f t="shared" si="25"/>
        <v>3.3</v>
      </c>
      <c r="AP43" s="1252">
        <f t="shared" si="26"/>
        <v>7.3</v>
      </c>
      <c r="AQ43" s="1263">
        <f>SUM(AA43)</f>
        <v>3.3</v>
      </c>
      <c r="AR43" s="1252">
        <f t="shared" si="15"/>
        <v>11.5</v>
      </c>
      <c r="BN43" s="259" t="str">
        <f>+[2]rapkvart!$A137</f>
        <v>Liquid assets in discontinued operations, closing balance</v>
      </c>
      <c r="BP43" s="1263">
        <f>AM43</f>
        <v>3.3</v>
      </c>
      <c r="BQ43" s="1252">
        <f t="shared" si="28"/>
        <v>7.3</v>
      </c>
      <c r="BR43" s="1263">
        <f>AO43</f>
        <v>3.3</v>
      </c>
      <c r="BS43" s="1252">
        <f t="shared" si="28"/>
        <v>7.3</v>
      </c>
      <c r="BT43" s="1263">
        <f t="shared" si="17"/>
        <v>3.3</v>
      </c>
      <c r="BU43" s="1252">
        <f t="shared" si="18"/>
        <v>11.5</v>
      </c>
    </row>
    <row r="44" spans="3:73" ht="9.75" customHeight="1" x14ac:dyDescent="0.15">
      <c r="C44" s="567"/>
      <c r="AD44" s="257"/>
      <c r="AE44" s="257"/>
      <c r="AF44" s="257"/>
      <c r="AG44" s="257"/>
      <c r="AH44" s="257"/>
      <c r="AI44" s="257"/>
      <c r="AJ44" s="257"/>
      <c r="AK44" s="257"/>
      <c r="AL44" s="257"/>
      <c r="AM44" s="257"/>
      <c r="AN44" s="257"/>
      <c r="AO44" s="257"/>
      <c r="AP44" s="257"/>
      <c r="AR44" s="257"/>
      <c r="BN44" s="257"/>
      <c r="BO44" s="257"/>
      <c r="BP44" s="1209"/>
      <c r="BQ44" s="1209"/>
      <c r="BR44" s="1209"/>
      <c r="BS44" s="1209"/>
      <c r="BT44" s="1209"/>
      <c r="BU44" s="960"/>
    </row>
    <row r="45" spans="3:73" ht="25.5" customHeight="1" x14ac:dyDescent="0.25">
      <c r="E45" s="259"/>
      <c r="F45" s="259"/>
      <c r="G45" s="259"/>
      <c r="H45" s="259"/>
      <c r="I45" s="791"/>
      <c r="J45" s="791"/>
      <c r="K45" s="791"/>
      <c r="L45" s="791"/>
      <c r="M45" s="791"/>
      <c r="N45" s="791"/>
      <c r="O45" s="791"/>
      <c r="P45" s="791"/>
      <c r="Q45" s="791"/>
      <c r="R45" s="791"/>
      <c r="S45" s="791"/>
      <c r="T45" s="791"/>
      <c r="U45" s="791"/>
      <c r="V45" s="791"/>
      <c r="W45" s="791"/>
      <c r="X45" s="791"/>
      <c r="Y45" s="791"/>
      <c r="Z45" s="791"/>
      <c r="AA45" s="791"/>
      <c r="AB45" s="791"/>
      <c r="AC45" s="791"/>
      <c r="AD45" s="790"/>
      <c r="AE45" s="790"/>
      <c r="AF45" s="790"/>
      <c r="AG45" s="790"/>
      <c r="AH45" s="790"/>
      <c r="AI45" s="790"/>
      <c r="AJ45" s="790"/>
    </row>
    <row r="46" spans="3:73" ht="9.75" customHeight="1" x14ac:dyDescent="0.25">
      <c r="E46" s="259"/>
      <c r="F46" s="259"/>
      <c r="G46" s="259"/>
      <c r="H46" s="259"/>
      <c r="I46" s="1344"/>
      <c r="J46" s="1344"/>
      <c r="K46" s="1344"/>
      <c r="L46" s="1344"/>
      <c r="M46" s="1344"/>
      <c r="N46" s="1344"/>
      <c r="O46" s="1344"/>
      <c r="P46" s="1344"/>
      <c r="Q46" s="791"/>
      <c r="R46" s="791"/>
      <c r="S46" s="791"/>
      <c r="T46" s="791"/>
      <c r="U46" s="791"/>
      <c r="V46" s="791"/>
      <c r="W46" s="791"/>
      <c r="X46" s="791"/>
      <c r="Y46" s="791"/>
      <c r="Z46" s="791"/>
      <c r="AA46" s="791"/>
      <c r="AB46" s="791"/>
      <c r="AC46" s="791"/>
      <c r="AD46" s="790"/>
      <c r="AE46" s="790"/>
      <c r="AF46" s="790"/>
      <c r="AG46" s="790"/>
      <c r="AH46" s="790"/>
      <c r="AI46" s="790"/>
      <c r="AJ46" s="790"/>
      <c r="AK46" s="1923"/>
      <c r="AL46" s="1923"/>
      <c r="AM46" s="1923" t="str">
        <f t="shared" ref="AM46:AR47" si="29">AM7</f>
        <v>Kvartal 2</v>
      </c>
      <c r="AN46" s="1923" t="str">
        <f t="shared" si="29"/>
        <v>Kvartal 2</v>
      </c>
      <c r="AO46" s="1923" t="str">
        <f t="shared" si="29"/>
        <v>Kvartal 1-2</v>
      </c>
      <c r="AP46" s="1923" t="str">
        <f t="shared" si="29"/>
        <v>Kvartal 1-2</v>
      </c>
      <c r="AQ46" s="1923" t="str">
        <f t="shared" si="29"/>
        <v>Kvartal 2, R12</v>
      </c>
      <c r="AR46" s="1923" t="str">
        <f t="shared" si="29"/>
        <v>Helår</v>
      </c>
      <c r="AS46" s="1344"/>
      <c r="AT46" s="1344"/>
      <c r="AU46" s="1344"/>
    </row>
    <row r="47" spans="3:73" ht="9.75" customHeight="1" x14ac:dyDescent="0.25">
      <c r="E47" s="259"/>
      <c r="F47" s="259"/>
      <c r="G47" s="259"/>
      <c r="H47" s="259"/>
      <c r="I47" s="1344"/>
      <c r="J47" s="1344"/>
      <c r="K47" s="1344"/>
      <c r="L47" s="1344"/>
      <c r="M47" s="1344"/>
      <c r="N47" s="1344"/>
      <c r="O47" s="1344"/>
      <c r="P47" s="1344"/>
      <c r="Q47" s="791"/>
      <c r="R47" s="791"/>
      <c r="S47" s="791"/>
      <c r="T47" s="791"/>
      <c r="U47" s="791"/>
      <c r="V47" s="791"/>
      <c r="W47" s="791"/>
      <c r="X47" s="791"/>
      <c r="Y47" s="791"/>
      <c r="Z47" s="791"/>
      <c r="AA47" s="791"/>
      <c r="AB47" s="791"/>
      <c r="AC47" s="791"/>
      <c r="AD47" s="790"/>
      <c r="AE47" s="790"/>
      <c r="AF47" s="790"/>
      <c r="AG47" s="790"/>
      <c r="AH47" s="790"/>
      <c r="AI47" s="790"/>
      <c r="AJ47" s="790"/>
      <c r="AK47" s="1925"/>
      <c r="AL47" s="1925"/>
      <c r="AM47" s="1929">
        <f t="shared" si="29"/>
        <v>2026</v>
      </c>
      <c r="AN47" s="1929">
        <f t="shared" si="29"/>
        <v>2025</v>
      </c>
      <c r="AO47" s="1929">
        <f t="shared" si="29"/>
        <v>2026</v>
      </c>
      <c r="AP47" s="1929">
        <f t="shared" si="29"/>
        <v>2025</v>
      </c>
      <c r="AQ47" s="1929">
        <f t="shared" si="29"/>
        <v>2026</v>
      </c>
      <c r="AR47" s="1929">
        <f t="shared" si="29"/>
        <v>2025</v>
      </c>
      <c r="AS47" s="1344"/>
      <c r="AT47" s="1344"/>
      <c r="AU47" s="1344"/>
    </row>
    <row r="48" spans="3:73" ht="9.75" customHeight="1" x14ac:dyDescent="0.25">
      <c r="E48" s="259"/>
      <c r="F48" s="259"/>
      <c r="G48" s="259"/>
      <c r="H48" s="259"/>
      <c r="I48" s="1344"/>
      <c r="J48" s="1344"/>
      <c r="K48" s="1344"/>
      <c r="L48" s="1344"/>
      <c r="M48" s="1344"/>
      <c r="N48" s="1344"/>
      <c r="O48" s="1344"/>
      <c r="P48" s="1344"/>
      <c r="Q48" s="791"/>
      <c r="R48" s="791"/>
      <c r="S48" s="791"/>
      <c r="T48" s="791"/>
      <c r="U48" s="791"/>
      <c r="V48" s="791"/>
      <c r="W48" s="791"/>
      <c r="X48" s="791"/>
      <c r="Y48" s="791"/>
      <c r="Z48" s="791"/>
      <c r="AA48" s="791"/>
      <c r="AB48" s="791"/>
      <c r="AC48" s="791"/>
      <c r="AD48" s="790"/>
      <c r="AE48" s="790"/>
      <c r="AF48" s="790"/>
      <c r="AG48" s="790"/>
      <c r="AH48" s="790"/>
      <c r="AI48" s="790"/>
      <c r="AJ48" s="790"/>
      <c r="AK48" s="1471" t="s">
        <v>717</v>
      </c>
      <c r="AL48" s="1472"/>
      <c r="AM48" s="1472">
        <f t="shared" ref="AM48" si="30">AM40</f>
        <v>14.699999999999733</v>
      </c>
      <c r="AN48" s="1472">
        <f>AN40</f>
        <v>38.499999999999574</v>
      </c>
      <c r="AO48" s="1472">
        <f>AO40</f>
        <v>14.700000000000003</v>
      </c>
      <c r="AP48" s="1472">
        <f>AP40</f>
        <v>38.499999999999574</v>
      </c>
      <c r="AQ48" s="1472">
        <f>AQ40</f>
        <v>14.699999999999729</v>
      </c>
      <c r="AR48" s="1472">
        <f>AR40</f>
        <v>49.99999999999973</v>
      </c>
      <c r="AS48" s="1344"/>
      <c r="AT48" s="1344"/>
      <c r="AU48" s="1344"/>
    </row>
    <row r="49" spans="5:44" ht="9.75" customHeight="1" x14ac:dyDescent="0.25">
      <c r="E49" s="259"/>
      <c r="F49" s="259"/>
      <c r="G49" s="259"/>
      <c r="H49" s="259"/>
      <c r="I49" s="1344"/>
      <c r="J49" s="1344"/>
      <c r="K49" s="1344"/>
      <c r="L49" s="1344"/>
      <c r="M49" s="1344"/>
      <c r="N49" s="1344"/>
      <c r="O49" s="1344"/>
      <c r="P49" s="1344"/>
      <c r="Q49" s="791"/>
      <c r="R49" s="791"/>
      <c r="S49" s="791"/>
      <c r="T49" s="791"/>
      <c r="U49" s="791"/>
      <c r="V49" s="791"/>
      <c r="W49" s="791"/>
      <c r="X49" s="791"/>
      <c r="Y49" s="791"/>
      <c r="Z49" s="791"/>
      <c r="AA49" s="791"/>
      <c r="AB49" s="791"/>
      <c r="AC49" s="791"/>
      <c r="AD49" s="790"/>
      <c r="AE49" s="790"/>
      <c r="AF49" s="790"/>
      <c r="AG49" s="790"/>
      <c r="AH49" s="790"/>
      <c r="AI49" s="790"/>
      <c r="AJ49" s="790"/>
      <c r="AK49" s="1391" t="s">
        <v>718</v>
      </c>
      <c r="AL49" s="1326"/>
      <c r="AM49" s="1326">
        <f>'Koncern BR'!W23</f>
        <v>14.7</v>
      </c>
      <c r="AN49" s="1326">
        <f>'Koncern BR'!X23</f>
        <v>38.5</v>
      </c>
      <c r="AO49" s="1326">
        <f>AM49</f>
        <v>14.7</v>
      </c>
      <c r="AP49" s="1326">
        <f>AN49</f>
        <v>38.5</v>
      </c>
      <c r="AQ49" s="1326">
        <f>AM49</f>
        <v>14.7</v>
      </c>
      <c r="AR49" s="1326">
        <f>'Koncern BR'!Y23</f>
        <v>50</v>
      </c>
    </row>
    <row r="50" spans="5:44" ht="9.75" customHeight="1" x14ac:dyDescent="0.15">
      <c r="E50" s="259"/>
      <c r="F50" s="259"/>
      <c r="G50" s="259"/>
      <c r="H50" s="259"/>
      <c r="AK50" s="983" t="s">
        <v>181</v>
      </c>
      <c r="AL50" s="983"/>
      <c r="AM50" s="983">
        <f t="shared" ref="AM50:AR50" si="31">AM48-AM49</f>
        <v>-2.6645352591003757E-13</v>
      </c>
      <c r="AN50" s="983">
        <f t="shared" si="31"/>
        <v>-4.2632564145606011E-13</v>
      </c>
      <c r="AO50" s="983">
        <f t="shared" si="31"/>
        <v>0</v>
      </c>
      <c r="AP50" s="983">
        <f t="shared" si="31"/>
        <v>-4.2632564145606011E-13</v>
      </c>
      <c r="AQ50" s="983">
        <f t="shared" si="31"/>
        <v>-2.7000623958883807E-13</v>
      </c>
      <c r="AR50" s="983">
        <f t="shared" si="31"/>
        <v>-2.7000623958883807E-13</v>
      </c>
    </row>
    <row r="51" spans="5:44" ht="9.75" customHeight="1" x14ac:dyDescent="0.15">
      <c r="E51" s="259"/>
      <c r="F51" s="259"/>
      <c r="G51" s="259"/>
      <c r="H51" s="259"/>
      <c r="AM51" s="259"/>
      <c r="AN51" s="259"/>
      <c r="AO51" s="259"/>
      <c r="AP51" s="259"/>
      <c r="AQ51" s="259"/>
      <c r="AR51" s="259"/>
    </row>
    <row r="52" spans="5:44" ht="9.75" customHeight="1" x14ac:dyDescent="0.15">
      <c r="E52" s="259"/>
      <c r="F52" s="259"/>
      <c r="G52" s="259"/>
      <c r="H52" s="259"/>
      <c r="AM52" s="259"/>
      <c r="AN52" s="259"/>
      <c r="AO52" s="259"/>
      <c r="AP52" s="259"/>
      <c r="AQ52" s="259"/>
      <c r="AR52" s="259"/>
    </row>
    <row r="53" spans="5:44" ht="9.75" customHeight="1" x14ac:dyDescent="0.15">
      <c r="AM53" s="259"/>
      <c r="AN53" s="259"/>
      <c r="AO53" s="259"/>
      <c r="AP53" s="259"/>
      <c r="AQ53" s="259"/>
      <c r="AR53" s="259"/>
    </row>
    <row r="54" spans="5:44" ht="9.75" customHeight="1" x14ac:dyDescent="0.15">
      <c r="AM54" s="259"/>
      <c r="AN54" s="259"/>
      <c r="AO54" s="259"/>
      <c r="AP54" s="259"/>
      <c r="AQ54" s="259"/>
      <c r="AR54" s="259"/>
    </row>
  </sheetData>
  <pageMargins left="0.7" right="0.7" top="0.75" bottom="0.75" header="0.3" footer="0.3"/>
  <pageSetup paperSize="9" orientation="portrait" r:id="rId1"/>
  <ignoredErrors>
    <ignoredError sqref="BT11:BT23 BT42:BT44 BT38:BT40 BT29:BT36 BT25:BT27"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C6DA9-8C2F-4257-B58D-147086559E00}">
  <sheetPr>
    <tabColor theme="9" tint="-0.249977111117893"/>
  </sheetPr>
  <dimension ref="A1"/>
  <sheetViews>
    <sheetView workbookViewId="0">
      <selection activeCell="D21" sqref="D21"/>
    </sheetView>
    <sheetView workbookViewId="1"/>
  </sheetViews>
  <sheetFormatPr defaultRowHeight="15.75" x14ac:dyDescent="0.25"/>
  <cols>
    <col min="1" max="16384" width="9.140625" style="2398"/>
  </cols>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B1:AU39"/>
  <sheetViews>
    <sheetView workbookViewId="0"/>
    <sheetView workbookViewId="1"/>
  </sheetViews>
  <sheetFormatPr defaultColWidth="9.140625" defaultRowHeight="9" outlineLevelCol="1" x14ac:dyDescent="0.15"/>
  <cols>
    <col min="1" max="1" width="9.140625" style="259"/>
    <col min="2" max="2" width="35.28515625" style="259" customWidth="1" outlineLevel="1"/>
    <col min="3" max="3" width="8.140625" style="259" customWidth="1" outlineLevel="1"/>
    <col min="4" max="15" width="4.7109375" style="390" customWidth="1" outlineLevel="1"/>
    <col min="16" max="16" width="3.42578125" style="259" customWidth="1" outlineLevel="1"/>
    <col min="17" max="28" width="4.85546875" style="259" customWidth="1" outlineLevel="1"/>
    <col min="29" max="29" width="9.140625" style="259"/>
    <col min="30" max="30" width="30.28515625" style="259" customWidth="1"/>
    <col min="31" max="31" width="4.28515625" style="259" customWidth="1"/>
    <col min="32" max="37" width="9.28515625" style="259" customWidth="1"/>
    <col min="38" max="39" width="9.140625" style="259"/>
    <col min="40" max="40" width="32.85546875" style="259" customWidth="1"/>
    <col min="41" max="41" width="3.7109375" style="478" customWidth="1"/>
    <col min="42" max="45" width="9.28515625" style="390" customWidth="1"/>
    <col min="46" max="46" width="9.28515625" style="390" customWidth="1" outlineLevel="1"/>
    <col min="47" max="47" width="9.28515625" style="390" customWidth="1"/>
    <col min="48" max="16384" width="9.140625" style="259"/>
  </cols>
  <sheetData>
    <row r="1" spans="2:47" x14ac:dyDescent="0.15">
      <c r="B1" s="1930"/>
      <c r="C1" s="1930"/>
      <c r="D1" s="1931"/>
      <c r="E1" s="1931"/>
      <c r="F1" s="1931"/>
      <c r="G1" s="1931"/>
      <c r="H1" s="1931"/>
      <c r="I1" s="1931"/>
      <c r="J1" s="1931"/>
      <c r="K1" s="1931"/>
      <c r="L1" s="1931"/>
      <c r="M1" s="1931"/>
      <c r="N1" s="1931"/>
      <c r="O1" s="1931"/>
      <c r="Q1" s="1931"/>
      <c r="R1" s="1931"/>
      <c r="S1" s="1931"/>
      <c r="T1" s="1931"/>
      <c r="U1" s="1931"/>
      <c r="V1" s="1931"/>
      <c r="W1" s="1931"/>
      <c r="X1" s="1931"/>
      <c r="Y1" s="1931"/>
      <c r="Z1" s="1931"/>
      <c r="AA1" s="1931"/>
      <c r="AB1" s="1931"/>
      <c r="AD1" s="1930"/>
      <c r="AE1" s="1930"/>
      <c r="AF1" s="1930"/>
      <c r="AG1" s="1930"/>
      <c r="AH1" s="1930"/>
      <c r="AI1" s="1930"/>
      <c r="AJ1" s="1930"/>
      <c r="AK1" s="1930"/>
      <c r="AN1" s="1930"/>
      <c r="AO1" s="1934"/>
      <c r="AP1" s="1931"/>
      <c r="AQ1" s="1931"/>
      <c r="AR1" s="1931"/>
      <c r="AS1" s="1931"/>
      <c r="AT1" s="1931"/>
      <c r="AU1" s="1931"/>
    </row>
    <row r="3" spans="2:47" ht="15" x14ac:dyDescent="0.25">
      <c r="B3" s="794" t="s">
        <v>687</v>
      </c>
      <c r="C3" s="271"/>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D3" s="794" t="s">
        <v>688</v>
      </c>
      <c r="AE3" s="271"/>
      <c r="AF3" s="271"/>
      <c r="AG3" s="271"/>
      <c r="AH3" s="271"/>
      <c r="AI3" s="271"/>
      <c r="AJ3" s="271"/>
      <c r="AK3" s="271"/>
      <c r="AN3" s="794" t="s">
        <v>689</v>
      </c>
      <c r="AO3" s="773"/>
      <c r="AP3" s="424"/>
      <c r="AQ3" s="424"/>
      <c r="AR3" s="424"/>
      <c r="AS3" s="424"/>
      <c r="AT3" s="424"/>
      <c r="AU3" s="424"/>
    </row>
    <row r="4" spans="2:47" ht="7.9" customHeight="1" x14ac:dyDescent="0.25">
      <c r="B4" s="1396"/>
      <c r="P4" s="390"/>
      <c r="Q4" s="390"/>
      <c r="R4" s="390"/>
      <c r="S4" s="390"/>
      <c r="T4" s="390"/>
      <c r="U4" s="390"/>
      <c r="V4" s="390"/>
      <c r="W4" s="390"/>
      <c r="X4" s="390"/>
      <c r="Y4" s="390"/>
      <c r="Z4" s="390"/>
      <c r="AA4" s="390"/>
      <c r="AB4" s="390"/>
    </row>
    <row r="5" spans="2:47" ht="7.9" customHeight="1" x14ac:dyDescent="0.25">
      <c r="B5" s="1396"/>
      <c r="P5" s="390"/>
      <c r="Q5" s="390"/>
      <c r="R5" s="390"/>
      <c r="S5" s="390"/>
      <c r="T5" s="390"/>
      <c r="U5" s="390"/>
      <c r="V5" s="390"/>
      <c r="W5" s="390"/>
      <c r="X5" s="390"/>
      <c r="Y5" s="390"/>
      <c r="Z5" s="390"/>
      <c r="AA5" s="390"/>
      <c r="AB5" s="390"/>
    </row>
    <row r="6" spans="2:47" ht="11.25" customHeight="1" x14ac:dyDescent="0.15">
      <c r="B6" s="257" t="s">
        <v>547</v>
      </c>
      <c r="C6" s="258"/>
      <c r="D6" s="477"/>
      <c r="E6" s="477"/>
      <c r="F6" s="477"/>
      <c r="G6" s="477"/>
      <c r="H6" s="477"/>
      <c r="I6" s="477"/>
      <c r="J6" s="477"/>
      <c r="K6" s="477"/>
      <c r="L6" s="477"/>
      <c r="M6" s="477"/>
      <c r="N6" s="477"/>
      <c r="O6" s="477"/>
      <c r="Q6" s="477"/>
      <c r="R6" s="477"/>
      <c r="S6" s="477"/>
      <c r="T6" s="477"/>
      <c r="U6" s="477"/>
      <c r="V6" s="477"/>
      <c r="W6" s="477"/>
      <c r="X6" s="477"/>
      <c r="Y6" s="477"/>
      <c r="AD6" s="257" t="s">
        <v>547</v>
      </c>
      <c r="AF6" s="477"/>
      <c r="AG6" s="477"/>
      <c r="AH6" s="477"/>
      <c r="AI6" s="477"/>
      <c r="AJ6" s="477"/>
      <c r="AK6" s="477"/>
      <c r="AL6" s="257"/>
      <c r="AN6" s="257" t="s">
        <v>548</v>
      </c>
      <c r="AO6" s="259"/>
      <c r="AP6" s="477"/>
      <c r="AQ6" s="477"/>
      <c r="AR6" s="477"/>
      <c r="AS6" s="477"/>
      <c r="AT6" s="477"/>
      <c r="AU6" s="477"/>
    </row>
    <row r="7" spans="2:47" ht="11.25" customHeight="1" x14ac:dyDescent="0.15">
      <c r="B7" s="260"/>
      <c r="C7" s="261"/>
      <c r="D7" s="261" t="s">
        <v>159</v>
      </c>
      <c r="E7" s="261" t="s">
        <v>159</v>
      </c>
      <c r="F7" s="261" t="s">
        <v>159</v>
      </c>
      <c r="G7" s="261" t="s">
        <v>159</v>
      </c>
      <c r="H7" s="261" t="s">
        <v>159</v>
      </c>
      <c r="I7" s="261" t="s">
        <v>159</v>
      </c>
      <c r="J7" s="261" t="s">
        <v>159</v>
      </c>
      <c r="K7" s="261" t="s">
        <v>159</v>
      </c>
      <c r="L7" s="261" t="s">
        <v>159</v>
      </c>
      <c r="M7" s="261" t="s">
        <v>159</v>
      </c>
      <c r="N7" s="261" t="s">
        <v>159</v>
      </c>
      <c r="O7" s="261" t="s">
        <v>159</v>
      </c>
      <c r="Q7" s="261" t="s">
        <v>160</v>
      </c>
      <c r="R7" s="261" t="s">
        <v>160</v>
      </c>
      <c r="S7" s="261" t="s">
        <v>160</v>
      </c>
      <c r="T7" s="261" t="s">
        <v>160</v>
      </c>
      <c r="U7" s="261" t="s">
        <v>160</v>
      </c>
      <c r="V7" s="261" t="s">
        <v>160</v>
      </c>
      <c r="W7" s="261" t="s">
        <v>160</v>
      </c>
      <c r="X7" s="261" t="s">
        <v>160</v>
      </c>
      <c r="Y7" s="261" t="s">
        <v>160</v>
      </c>
      <c r="Z7" s="261" t="s">
        <v>160</v>
      </c>
      <c r="AA7" s="261" t="s">
        <v>160</v>
      </c>
      <c r="AB7" s="261" t="s">
        <v>160</v>
      </c>
      <c r="AD7" s="260"/>
      <c r="AE7" s="261"/>
      <c r="AF7" s="261" t="str">
        <f>+[2]rapkvart!D195</f>
        <v>Kvartal 2</v>
      </c>
      <c r="AG7" s="261" t="str">
        <f>+[2]rapkvart!E195</f>
        <v>Kvartal 2</v>
      </c>
      <c r="AH7" s="261" t="str">
        <f>+[2]rapkvart!F195</f>
        <v>Kvartal 1-2</v>
      </c>
      <c r="AI7" s="261" t="str">
        <f>+[2]rapkvart!G195</f>
        <v>Kvartal 1-2</v>
      </c>
      <c r="AJ7" s="261" t="s">
        <v>199</v>
      </c>
      <c r="AK7" s="261" t="s">
        <v>32</v>
      </c>
      <c r="AL7" s="257"/>
      <c r="AN7" s="260"/>
      <c r="AO7" s="261"/>
      <c r="AP7" s="261" t="s">
        <v>200</v>
      </c>
      <c r="AQ7" s="261" t="s">
        <v>200</v>
      </c>
      <c r="AR7" s="261" t="s">
        <v>201</v>
      </c>
      <c r="AS7" s="261" t="s">
        <v>201</v>
      </c>
      <c r="AT7" s="261" t="s">
        <v>202</v>
      </c>
      <c r="AU7" s="261" t="s">
        <v>203</v>
      </c>
    </row>
    <row r="8" spans="2:47" x14ac:dyDescent="0.15">
      <c r="B8" s="273" t="str">
        <f>+[2]rapkvart!B196</f>
        <v>Mkr</v>
      </c>
      <c r="C8" s="273" t="str">
        <f>+[2]rapkvart!C196</f>
        <v>Not</v>
      </c>
      <c r="D8" s="948">
        <v>2403</v>
      </c>
      <c r="E8" s="948">
        <f>D8+3</f>
        <v>2406</v>
      </c>
      <c r="F8" s="948">
        <f t="shared" ref="F8:G8" si="0">E8+3</f>
        <v>2409</v>
      </c>
      <c r="G8" s="948">
        <f t="shared" si="0"/>
        <v>2412</v>
      </c>
      <c r="H8" s="948">
        <f>D8+100</f>
        <v>2503</v>
      </c>
      <c r="I8" s="948">
        <f t="shared" ref="I8:M8" si="1">E8+100</f>
        <v>2506</v>
      </c>
      <c r="J8" s="948">
        <f t="shared" si="1"/>
        <v>2509</v>
      </c>
      <c r="K8" s="948">
        <f t="shared" si="1"/>
        <v>2512</v>
      </c>
      <c r="L8" s="948">
        <f t="shared" si="1"/>
        <v>2603</v>
      </c>
      <c r="M8" s="948">
        <f t="shared" si="1"/>
        <v>2606</v>
      </c>
      <c r="N8" s="948">
        <f t="shared" ref="N8" si="2">J8+100</f>
        <v>2609</v>
      </c>
      <c r="O8" s="948">
        <f t="shared" ref="O8" si="3">K8+100</f>
        <v>2612</v>
      </c>
      <c r="P8" s="1217"/>
      <c r="Q8" s="948">
        <v>2403</v>
      </c>
      <c r="R8" s="948">
        <f>Q8+3</f>
        <v>2406</v>
      </c>
      <c r="S8" s="948">
        <f t="shared" ref="S8:T8" si="4">R8+3</f>
        <v>2409</v>
      </c>
      <c r="T8" s="948">
        <f t="shared" si="4"/>
        <v>2412</v>
      </c>
      <c r="U8" s="948">
        <v>2503</v>
      </c>
      <c r="V8" s="948">
        <f t="shared" ref="V8:X8" si="5">U8+3</f>
        <v>2506</v>
      </c>
      <c r="W8" s="948">
        <f t="shared" si="5"/>
        <v>2509</v>
      </c>
      <c r="X8" s="948">
        <f t="shared" si="5"/>
        <v>2512</v>
      </c>
      <c r="Y8" s="948">
        <v>2603</v>
      </c>
      <c r="Z8" s="948">
        <v>2606</v>
      </c>
      <c r="AA8" s="948">
        <v>2606</v>
      </c>
      <c r="AB8" s="948">
        <v>2606</v>
      </c>
      <c r="AD8" s="273"/>
      <c r="AE8" s="275" t="s">
        <v>690</v>
      </c>
      <c r="AF8" s="948">
        <f>+[2]rapkvart!D196</f>
        <v>2026</v>
      </c>
      <c r="AG8" s="948">
        <f>+[2]rapkvart!E196</f>
        <v>2025</v>
      </c>
      <c r="AH8" s="948">
        <f>+[2]rapkvart!F196</f>
        <v>2026</v>
      </c>
      <c r="AI8" s="948">
        <f>+[2]rapkvart!G196</f>
        <v>2025</v>
      </c>
      <c r="AJ8" s="948">
        <f>+[2]rapkvart!F196</f>
        <v>2026</v>
      </c>
      <c r="AK8" s="948">
        <f>+[2]rapkvart!G196</f>
        <v>2025</v>
      </c>
      <c r="AL8" s="257"/>
      <c r="AN8" s="273" t="str">
        <f>+[2]rapkvart!A196</f>
        <v>MSEK</v>
      </c>
      <c r="AO8" s="275" t="s">
        <v>219</v>
      </c>
      <c r="AP8" s="948">
        <v>2026</v>
      </c>
      <c r="AQ8" s="948">
        <v>2025</v>
      </c>
      <c r="AR8" s="948">
        <v>2026</v>
      </c>
      <c r="AS8" s="948">
        <v>2025</v>
      </c>
      <c r="AT8" s="948">
        <v>2026</v>
      </c>
      <c r="AU8" s="948">
        <v>2025</v>
      </c>
    </row>
    <row r="9" spans="2:47" x14ac:dyDescent="0.15">
      <c r="B9" s="1390" t="str">
        <f>+[2]rapkvart!B197</f>
        <v>Intäkter</v>
      </c>
      <c r="C9" s="1397">
        <f>+[2]rapkvart!C197</f>
        <v>7</v>
      </c>
      <c r="D9" s="1316">
        <f>[2]rapkvart!S197</f>
        <v>10.5</v>
      </c>
      <c r="E9" s="1316">
        <f>[2]rapkvart!T197</f>
        <v>21.1</v>
      </c>
      <c r="F9" s="1316">
        <f>[2]rapkvart!U197</f>
        <v>31.6</v>
      </c>
      <c r="G9" s="1316">
        <f>[2]rapkvart!V197</f>
        <v>42.2</v>
      </c>
      <c r="H9" s="1316">
        <f>[2]rapkvart!O197</f>
        <v>10.3</v>
      </c>
      <c r="I9" s="1316">
        <f>[2]rapkvart!P197</f>
        <v>20.6</v>
      </c>
      <c r="J9" s="1316">
        <f>[2]rapkvart!Q197</f>
        <v>30.9</v>
      </c>
      <c r="K9" s="1316">
        <f>[2]rapkvart!R197</f>
        <v>41.2</v>
      </c>
      <c r="L9" s="1316">
        <f>[2]rapkvart!K197</f>
        <v>10.4</v>
      </c>
      <c r="M9" s="1316">
        <f>[2]rapkvart!L197</f>
        <v>21.3</v>
      </c>
      <c r="N9" s="1316">
        <f>[2]rapkvart!M197</f>
        <v>30.9</v>
      </c>
      <c r="O9" s="1316">
        <f>[2]rapkvart!N197</f>
        <v>41.2</v>
      </c>
      <c r="P9" s="889"/>
      <c r="Q9" s="1307">
        <f>D9</f>
        <v>10.5</v>
      </c>
      <c r="R9" s="1383">
        <f>E9-D9</f>
        <v>10.600000000000001</v>
      </c>
      <c r="S9" s="1383">
        <f>F9-E9</f>
        <v>10.5</v>
      </c>
      <c r="T9" s="1383">
        <f>G9-F9</f>
        <v>10.600000000000001</v>
      </c>
      <c r="U9" s="1307">
        <f>H9</f>
        <v>10.3</v>
      </c>
      <c r="V9" s="1383">
        <f>I9-H9</f>
        <v>10.3</v>
      </c>
      <c r="W9" s="1383">
        <f t="shared" ref="W9" si="6">J9-I9</f>
        <v>10.299999999999997</v>
      </c>
      <c r="X9" s="1383">
        <f t="shared" ref="X9" si="7">K9-J9</f>
        <v>10.300000000000004</v>
      </c>
      <c r="Y9" s="1307">
        <f>L9</f>
        <v>10.4</v>
      </c>
      <c r="Z9" s="1383">
        <f>M9-L9</f>
        <v>10.9</v>
      </c>
      <c r="AA9" s="1383">
        <f t="shared" ref="AA9:AB24" si="8">N9-M9</f>
        <v>9.5999999999999979</v>
      </c>
      <c r="AB9" s="1383">
        <f t="shared" si="8"/>
        <v>10.300000000000004</v>
      </c>
      <c r="AD9" s="942" t="str">
        <f>B9</f>
        <v>Intäkter</v>
      </c>
      <c r="AE9" s="1944">
        <f>C9</f>
        <v>7</v>
      </c>
      <c r="AF9" s="1270">
        <f>Z9</f>
        <v>10.9</v>
      </c>
      <c r="AG9" s="179">
        <f>V9</f>
        <v>10.3</v>
      </c>
      <c r="AH9" s="1270">
        <f>SUM(Y9:Z9)</f>
        <v>21.3</v>
      </c>
      <c r="AI9" s="179">
        <f>SUM(U9:V9)</f>
        <v>20.6</v>
      </c>
      <c r="AJ9" s="1270">
        <f>SUM(W9:Z9)</f>
        <v>41.9</v>
      </c>
      <c r="AK9" s="179">
        <f>SUM(U9:X9)</f>
        <v>41.2</v>
      </c>
      <c r="AL9" s="257"/>
      <c r="AN9" s="943" t="str">
        <f>+[2]rapkvart!$A197</f>
        <v xml:space="preserve">Turnover </v>
      </c>
      <c r="AO9" s="2028">
        <v>7</v>
      </c>
      <c r="AP9" s="1268">
        <f t="shared" ref="AP9:AU11" si="9">AF9</f>
        <v>10.9</v>
      </c>
      <c r="AQ9" s="1269">
        <f t="shared" si="9"/>
        <v>10.3</v>
      </c>
      <c r="AR9" s="1268">
        <f t="shared" si="9"/>
        <v>21.3</v>
      </c>
      <c r="AS9" s="1269">
        <f t="shared" si="9"/>
        <v>20.6</v>
      </c>
      <c r="AT9" s="1268">
        <f t="shared" si="9"/>
        <v>41.9</v>
      </c>
      <c r="AU9" s="1269">
        <f t="shared" si="9"/>
        <v>41.2</v>
      </c>
    </row>
    <row r="10" spans="2:47" x14ac:dyDescent="0.15">
      <c r="B10" s="1391" t="str">
        <f>+[2]rapkvart!B198</f>
        <v>Fastighetskostnader</v>
      </c>
      <c r="C10" s="1391"/>
      <c r="D10" s="1326">
        <f>[2]rapkvart!S198</f>
        <v>-2.1</v>
      </c>
      <c r="E10" s="1326">
        <f>[2]rapkvart!T198</f>
        <v>-3.9</v>
      </c>
      <c r="F10" s="1326">
        <f>[2]rapkvart!U198</f>
        <v>-6.1</v>
      </c>
      <c r="G10" s="1326">
        <f>[2]rapkvart!V198</f>
        <v>-8.5</v>
      </c>
      <c r="H10" s="1326">
        <f>[2]rapkvart!O198</f>
        <v>-2.2000000000000002</v>
      </c>
      <c r="I10" s="1326">
        <f>[2]rapkvart!P198</f>
        <v>-4.3</v>
      </c>
      <c r="J10" s="1326">
        <f>[2]rapkvart!Q198</f>
        <v>-6.2</v>
      </c>
      <c r="K10" s="1326">
        <f>[2]rapkvart!R198</f>
        <v>-8.1999999999999993</v>
      </c>
      <c r="L10" s="1326">
        <f>[2]rapkvart!K198</f>
        <v>-2.4</v>
      </c>
      <c r="M10" s="1326">
        <f>[2]rapkvart!L198</f>
        <v>-4.5</v>
      </c>
      <c r="N10" s="1326">
        <f>[2]rapkvart!M198</f>
        <v>-6.2</v>
      </c>
      <c r="O10" s="1326">
        <f>[2]rapkvart!N198</f>
        <v>-8.1999999999999993</v>
      </c>
      <c r="P10" s="889"/>
      <c r="Q10" s="1308">
        <f t="shared" ref="Q10:Q34" si="10">D10</f>
        <v>-2.1</v>
      </c>
      <c r="R10" s="1384">
        <f t="shared" ref="R10:R34" si="11">E10-D10</f>
        <v>-1.7999999999999998</v>
      </c>
      <c r="S10" s="1384">
        <f t="shared" ref="S10:S34" si="12">F10-E10</f>
        <v>-2.1999999999999997</v>
      </c>
      <c r="T10" s="1384">
        <f t="shared" ref="T10:T34" si="13">G10-F10</f>
        <v>-2.4000000000000004</v>
      </c>
      <c r="U10" s="1308">
        <f t="shared" ref="U10:U34" si="14">H10</f>
        <v>-2.2000000000000002</v>
      </c>
      <c r="V10" s="1384">
        <f t="shared" ref="V10:V34" si="15">I10-H10</f>
        <v>-2.0999999999999996</v>
      </c>
      <c r="W10" s="1384">
        <f t="shared" ref="W10:W34" si="16">J10-I10</f>
        <v>-1.9000000000000004</v>
      </c>
      <c r="X10" s="1384">
        <f t="shared" ref="X10:X34" si="17">K10-J10</f>
        <v>-1.9999999999999991</v>
      </c>
      <c r="Y10" s="1308">
        <f t="shared" ref="Y10:Y34" si="18">L10</f>
        <v>-2.4</v>
      </c>
      <c r="Z10" s="1384">
        <f t="shared" ref="Z10:Z34" si="19">M10-L10</f>
        <v>-2.1</v>
      </c>
      <c r="AA10" s="1384">
        <f t="shared" si="8"/>
        <v>-1.7000000000000002</v>
      </c>
      <c r="AB10" s="1384">
        <f t="shared" si="8"/>
        <v>-1.9999999999999991</v>
      </c>
      <c r="AD10" s="1717" t="str">
        <f t="shared" ref="AD10:AD34" si="20">B10</f>
        <v>Fastighetskostnader</v>
      </c>
      <c r="AE10" s="1717"/>
      <c r="AF10" s="1718">
        <f>Z10</f>
        <v>-2.1</v>
      </c>
      <c r="AG10" s="1719">
        <f>V10</f>
        <v>-2.0999999999999996</v>
      </c>
      <c r="AH10" s="1718">
        <f>SUM(Y10:Z10)</f>
        <v>-4.5</v>
      </c>
      <c r="AI10" s="1719">
        <f>SUM(U10:V10)</f>
        <v>-4.3</v>
      </c>
      <c r="AJ10" s="1718">
        <f>SUM(W10:Z10)</f>
        <v>-8.3999999999999986</v>
      </c>
      <c r="AK10" s="1719">
        <f>SUM(U10:X10)</f>
        <v>-8.1999999999999993</v>
      </c>
      <c r="AL10" s="257"/>
      <c r="AN10" s="1717" t="str">
        <f>+[2]rapkvart!$A198</f>
        <v>Real estate costs</v>
      </c>
      <c r="AO10" s="1717"/>
      <c r="AP10" s="1718">
        <f t="shared" si="9"/>
        <v>-2.1</v>
      </c>
      <c r="AQ10" s="1719">
        <f t="shared" si="9"/>
        <v>-2.0999999999999996</v>
      </c>
      <c r="AR10" s="1718">
        <f t="shared" si="9"/>
        <v>-4.5</v>
      </c>
      <c r="AS10" s="1719">
        <f t="shared" si="9"/>
        <v>-4.3</v>
      </c>
      <c r="AT10" s="1718">
        <f t="shared" si="9"/>
        <v>-8.3999999999999986</v>
      </c>
      <c r="AU10" s="1719">
        <f t="shared" si="9"/>
        <v>-8.1999999999999993</v>
      </c>
    </row>
    <row r="11" spans="2:47" x14ac:dyDescent="0.15">
      <c r="B11" s="1392" t="str">
        <f>+[2]rapkvart!B199</f>
        <v>Bruttoresultat</v>
      </c>
      <c r="C11" s="1392"/>
      <c r="D11" s="1327">
        <f>[2]rapkvart!S199</f>
        <v>8.4</v>
      </c>
      <c r="E11" s="1327">
        <f>[2]rapkvart!T199</f>
        <v>17.200000000000003</v>
      </c>
      <c r="F11" s="1327">
        <f>[2]rapkvart!U199</f>
        <v>25.5</v>
      </c>
      <c r="G11" s="1327">
        <f>[2]rapkvart!V199</f>
        <v>33.700000000000003</v>
      </c>
      <c r="H11" s="1327">
        <f>[2]rapkvart!O199</f>
        <v>8.1000000000000014</v>
      </c>
      <c r="I11" s="1327">
        <f>[2]rapkvart!P199</f>
        <v>16.3</v>
      </c>
      <c r="J11" s="1327">
        <f>[2]rapkvart!Q199</f>
        <v>24.7</v>
      </c>
      <c r="K11" s="1327">
        <f>[2]rapkvart!R199</f>
        <v>33</v>
      </c>
      <c r="L11" s="1327">
        <f>[2]rapkvart!K199</f>
        <v>8</v>
      </c>
      <c r="M11" s="1327">
        <f>[2]rapkvart!L199</f>
        <v>16.8</v>
      </c>
      <c r="N11" s="1327">
        <f>[2]rapkvart!M199</f>
        <v>24.7</v>
      </c>
      <c r="O11" s="1327">
        <f>[2]rapkvart!N199</f>
        <v>33</v>
      </c>
      <c r="P11" s="889"/>
      <c r="Q11" s="1309">
        <f t="shared" si="10"/>
        <v>8.4</v>
      </c>
      <c r="R11" s="1385">
        <f t="shared" si="11"/>
        <v>8.8000000000000025</v>
      </c>
      <c r="S11" s="1385">
        <f t="shared" si="12"/>
        <v>8.2999999999999972</v>
      </c>
      <c r="T11" s="1385">
        <f t="shared" si="13"/>
        <v>8.2000000000000028</v>
      </c>
      <c r="U11" s="1309">
        <f t="shared" si="14"/>
        <v>8.1000000000000014</v>
      </c>
      <c r="V11" s="1385">
        <f t="shared" si="15"/>
        <v>8.1999999999999993</v>
      </c>
      <c r="W11" s="1385">
        <f t="shared" si="16"/>
        <v>8.3999999999999986</v>
      </c>
      <c r="X11" s="1385">
        <f t="shared" si="17"/>
        <v>8.3000000000000007</v>
      </c>
      <c r="Y11" s="1309">
        <f t="shared" si="18"/>
        <v>8</v>
      </c>
      <c r="Z11" s="1385">
        <f t="shared" si="19"/>
        <v>8.8000000000000007</v>
      </c>
      <c r="AA11" s="1385">
        <f t="shared" si="8"/>
        <v>7.8999999999999986</v>
      </c>
      <c r="AB11" s="1385">
        <f t="shared" si="8"/>
        <v>8.3000000000000007</v>
      </c>
      <c r="AD11" s="944" t="str">
        <f t="shared" si="20"/>
        <v>Bruttoresultat</v>
      </c>
      <c r="AE11" s="944"/>
      <c r="AF11" s="1266">
        <f>Z11</f>
        <v>8.8000000000000007</v>
      </c>
      <c r="AG11" s="1267">
        <f>V11</f>
        <v>8.1999999999999993</v>
      </c>
      <c r="AH11" s="1266">
        <f>SUM(Y11:Z11)</f>
        <v>16.8</v>
      </c>
      <c r="AI11" s="1267">
        <f>SUM(U11:V11)</f>
        <v>16.3</v>
      </c>
      <c r="AJ11" s="1266">
        <f>SUM(W11:Z11)</f>
        <v>33.5</v>
      </c>
      <c r="AK11" s="1267">
        <f>SUM(U11:X11)</f>
        <v>33</v>
      </c>
      <c r="AL11" s="257"/>
      <c r="AN11" s="944" t="str">
        <f>+[2]rapkvart!A199</f>
        <v>Gross Margin</v>
      </c>
      <c r="AO11" s="944"/>
      <c r="AP11" s="1266">
        <f t="shared" si="9"/>
        <v>8.8000000000000007</v>
      </c>
      <c r="AQ11" s="1267">
        <f t="shared" si="9"/>
        <v>8.1999999999999993</v>
      </c>
      <c r="AR11" s="1266">
        <f t="shared" si="9"/>
        <v>16.8</v>
      </c>
      <c r="AS11" s="1267">
        <f t="shared" si="9"/>
        <v>16.3</v>
      </c>
      <c r="AT11" s="1266">
        <f t="shared" si="9"/>
        <v>33.5</v>
      </c>
      <c r="AU11" s="1267">
        <f t="shared" si="9"/>
        <v>33</v>
      </c>
    </row>
    <row r="12" spans="2:47" x14ac:dyDescent="0.15">
      <c r="B12" s="1393"/>
      <c r="C12" s="1393"/>
      <c r="D12" s="1328">
        <f>[2]rapkvart!S200</f>
        <v>0</v>
      </c>
      <c r="E12" s="1328">
        <f>[2]rapkvart!T200</f>
        <v>0</v>
      </c>
      <c r="F12" s="1328">
        <f>[2]rapkvart!U200</f>
        <v>0</v>
      </c>
      <c r="G12" s="1328">
        <f>[2]rapkvart!V200</f>
        <v>0</v>
      </c>
      <c r="H12" s="1328">
        <f>[2]rapkvart!O200</f>
        <v>0</v>
      </c>
      <c r="I12" s="1328">
        <f>[2]rapkvart!P200</f>
        <v>0</v>
      </c>
      <c r="J12" s="1328">
        <f>[2]rapkvart!Q200</f>
        <v>0</v>
      </c>
      <c r="K12" s="1328">
        <f>[2]rapkvart!R200</f>
        <v>0</v>
      </c>
      <c r="L12" s="1328">
        <f>[2]rapkvart!K200</f>
        <v>0</v>
      </c>
      <c r="M12" s="1328">
        <f>[2]rapkvart!L200</f>
        <v>0</v>
      </c>
      <c r="N12" s="1328">
        <f>[2]rapkvart!M200</f>
        <v>0</v>
      </c>
      <c r="O12" s="1328">
        <f>[2]rapkvart!N200</f>
        <v>0</v>
      </c>
      <c r="P12" s="889"/>
      <c r="Q12" s="1310">
        <f t="shared" si="10"/>
        <v>0</v>
      </c>
      <c r="R12" s="1386">
        <f t="shared" si="11"/>
        <v>0</v>
      </c>
      <c r="S12" s="1386">
        <f t="shared" si="12"/>
        <v>0</v>
      </c>
      <c r="T12" s="1386">
        <f t="shared" si="13"/>
        <v>0</v>
      </c>
      <c r="U12" s="1310">
        <f t="shared" si="14"/>
        <v>0</v>
      </c>
      <c r="V12" s="1386">
        <f t="shared" si="15"/>
        <v>0</v>
      </c>
      <c r="W12" s="1386">
        <f t="shared" si="16"/>
        <v>0</v>
      </c>
      <c r="X12" s="1386">
        <f t="shared" si="17"/>
        <v>0</v>
      </c>
      <c r="Y12" s="1310">
        <f t="shared" si="18"/>
        <v>0</v>
      </c>
      <c r="Z12" s="1386">
        <f t="shared" si="19"/>
        <v>0</v>
      </c>
      <c r="AA12" s="1386">
        <f t="shared" si="8"/>
        <v>0</v>
      </c>
      <c r="AB12" s="1386">
        <f t="shared" si="8"/>
        <v>0</v>
      </c>
      <c r="AD12" s="943"/>
      <c r="AE12" s="943"/>
      <c r="AF12" s="1268"/>
      <c r="AG12" s="1269"/>
      <c r="AH12" s="1268"/>
      <c r="AI12" s="1269"/>
      <c r="AJ12" s="1268"/>
      <c r="AK12" s="1269"/>
      <c r="AL12" s="257"/>
      <c r="AN12" s="1594"/>
      <c r="AO12" s="1594"/>
      <c r="AP12" s="178"/>
      <c r="AQ12" s="179"/>
      <c r="AR12" s="178"/>
      <c r="AS12" s="179"/>
      <c r="AT12" s="178"/>
      <c r="AU12" s="179"/>
    </row>
    <row r="13" spans="2:47" x14ac:dyDescent="0.15">
      <c r="B13" s="1390" t="str">
        <f>+[2]rapkvart!B201</f>
        <v>Övriga rörelseintäkter</v>
      </c>
      <c r="C13" s="1390"/>
      <c r="D13" s="1316">
        <f>[2]rapkvart!S201</f>
        <v>0</v>
      </c>
      <c r="E13" s="1316">
        <f>[2]rapkvart!T201</f>
        <v>0</v>
      </c>
      <c r="F13" s="1316">
        <f>[2]rapkvart!U201</f>
        <v>0</v>
      </c>
      <c r="G13" s="1316">
        <f>[2]rapkvart!V201</f>
        <v>0</v>
      </c>
      <c r="H13" s="1316">
        <f>[2]rapkvart!O201</f>
        <v>0</v>
      </c>
      <c r="I13" s="1316">
        <f>[2]rapkvart!P201</f>
        <v>0</v>
      </c>
      <c r="J13" s="1316">
        <f>[2]rapkvart!Q201</f>
        <v>0</v>
      </c>
      <c r="K13" s="1316">
        <f>[2]rapkvart!R201</f>
        <v>0</v>
      </c>
      <c r="L13" s="1316">
        <f>[2]rapkvart!K201</f>
        <v>0</v>
      </c>
      <c r="M13" s="1316">
        <f>[2]rapkvart!L201</f>
        <v>0</v>
      </c>
      <c r="N13" s="1316">
        <f>[2]rapkvart!M201</f>
        <v>0</v>
      </c>
      <c r="O13" s="1316">
        <f>[2]rapkvart!N201</f>
        <v>0</v>
      </c>
      <c r="P13" s="889"/>
      <c r="Q13" s="1307">
        <f t="shared" si="10"/>
        <v>0</v>
      </c>
      <c r="R13" s="1383">
        <f t="shared" si="11"/>
        <v>0</v>
      </c>
      <c r="S13" s="1383">
        <f t="shared" si="12"/>
        <v>0</v>
      </c>
      <c r="T13" s="1383">
        <f t="shared" si="13"/>
        <v>0</v>
      </c>
      <c r="U13" s="1307">
        <f t="shared" si="14"/>
        <v>0</v>
      </c>
      <c r="V13" s="1383">
        <f t="shared" si="15"/>
        <v>0</v>
      </c>
      <c r="W13" s="1383">
        <f t="shared" si="16"/>
        <v>0</v>
      </c>
      <c r="X13" s="1383">
        <f t="shared" si="17"/>
        <v>0</v>
      </c>
      <c r="Y13" s="1307">
        <f t="shared" si="18"/>
        <v>0</v>
      </c>
      <c r="Z13" s="1383">
        <f t="shared" si="19"/>
        <v>0</v>
      </c>
      <c r="AA13" s="1383">
        <f t="shared" si="8"/>
        <v>0</v>
      </c>
      <c r="AB13" s="1383">
        <f t="shared" si="8"/>
        <v>0</v>
      </c>
      <c r="AD13" s="942" t="str">
        <f t="shared" si="20"/>
        <v>Övriga rörelseintäkter</v>
      </c>
      <c r="AE13" s="942"/>
      <c r="AF13" s="178">
        <f>Z13</f>
        <v>0</v>
      </c>
      <c r="AG13" s="179">
        <f>V13</f>
        <v>0</v>
      </c>
      <c r="AH13" s="178">
        <f>SUM(Y13:Z13)</f>
        <v>0</v>
      </c>
      <c r="AI13" s="179">
        <f>SUM(U13:V13)</f>
        <v>0</v>
      </c>
      <c r="AJ13" s="178">
        <f>SUM(W13:Z13)</f>
        <v>0</v>
      </c>
      <c r="AK13" s="179">
        <f>SUM(U13:X13)</f>
        <v>0</v>
      </c>
      <c r="AL13" s="257"/>
      <c r="AN13" s="942" t="str">
        <f>+[2]rapkvart!A201</f>
        <v>Other operating revenues</v>
      </c>
      <c r="AO13" s="942"/>
      <c r="AP13" s="1270">
        <f t="shared" ref="AP13:AU16" si="21">AF13</f>
        <v>0</v>
      </c>
      <c r="AQ13" s="179">
        <f t="shared" si="21"/>
        <v>0</v>
      </c>
      <c r="AR13" s="1270">
        <f t="shared" si="21"/>
        <v>0</v>
      </c>
      <c r="AS13" s="179">
        <f t="shared" si="21"/>
        <v>0</v>
      </c>
      <c r="AT13" s="1270">
        <f t="shared" si="21"/>
        <v>0</v>
      </c>
      <c r="AU13" s="179">
        <f t="shared" si="21"/>
        <v>0</v>
      </c>
    </row>
    <row r="14" spans="2:47" x14ac:dyDescent="0.15">
      <c r="B14" s="1393" t="str">
        <f>+[2]rapkvart!B202</f>
        <v xml:space="preserve">Administrationskostnader </v>
      </c>
      <c r="C14" s="1393"/>
      <c r="D14" s="1328">
        <f>[2]rapkvart!S202</f>
        <v>-0.9</v>
      </c>
      <c r="E14" s="1328">
        <f>[2]rapkvart!T202</f>
        <v>-2.1</v>
      </c>
      <c r="F14" s="1328">
        <f>[2]rapkvart!U202</f>
        <v>-3</v>
      </c>
      <c r="G14" s="1328">
        <f>[2]rapkvart!V202</f>
        <v>-3.9</v>
      </c>
      <c r="H14" s="1328">
        <f>[2]rapkvart!O202</f>
        <v>-1.4</v>
      </c>
      <c r="I14" s="1328">
        <f>[2]rapkvart!P202</f>
        <v>-2.4</v>
      </c>
      <c r="J14" s="1328">
        <f>[2]rapkvart!Q202</f>
        <v>-3.4</v>
      </c>
      <c r="K14" s="1328">
        <f>[2]rapkvart!R202</f>
        <v>-4.3</v>
      </c>
      <c r="L14" s="1328">
        <f>[2]rapkvart!K202</f>
        <v>-1.6</v>
      </c>
      <c r="M14" s="1328">
        <f>[2]rapkvart!L202</f>
        <v>-3.1</v>
      </c>
      <c r="N14" s="1328">
        <f>[2]rapkvart!M202</f>
        <v>-3.4</v>
      </c>
      <c r="O14" s="1328">
        <f>[2]rapkvart!N202</f>
        <v>-4.3</v>
      </c>
      <c r="P14" s="889"/>
      <c r="Q14" s="1310">
        <f t="shared" si="10"/>
        <v>-0.9</v>
      </c>
      <c r="R14" s="1386">
        <f t="shared" si="11"/>
        <v>-1.2000000000000002</v>
      </c>
      <c r="S14" s="1386">
        <f t="shared" si="12"/>
        <v>-0.89999999999999991</v>
      </c>
      <c r="T14" s="1386">
        <f t="shared" si="13"/>
        <v>-0.89999999999999991</v>
      </c>
      <c r="U14" s="1310">
        <f t="shared" si="14"/>
        <v>-1.4</v>
      </c>
      <c r="V14" s="1386">
        <f t="shared" si="15"/>
        <v>-1</v>
      </c>
      <c r="W14" s="1386">
        <f t="shared" si="16"/>
        <v>-1</v>
      </c>
      <c r="X14" s="1386">
        <f t="shared" si="17"/>
        <v>-0.89999999999999991</v>
      </c>
      <c r="Y14" s="1310">
        <f t="shared" si="18"/>
        <v>-1.6</v>
      </c>
      <c r="Z14" s="1386">
        <f t="shared" si="19"/>
        <v>-1.5</v>
      </c>
      <c r="AA14" s="1386">
        <f t="shared" si="8"/>
        <v>-0.29999999999999982</v>
      </c>
      <c r="AB14" s="1386">
        <f t="shared" si="8"/>
        <v>-0.89999999999999991</v>
      </c>
      <c r="AD14" s="1717" t="str">
        <f t="shared" si="20"/>
        <v xml:space="preserve">Administrationskostnader </v>
      </c>
      <c r="AE14" s="1717"/>
      <c r="AF14" s="1718">
        <f>Z14</f>
        <v>-1.5</v>
      </c>
      <c r="AG14" s="1719">
        <f>V14</f>
        <v>-1</v>
      </c>
      <c r="AH14" s="1718">
        <f>SUM(Y14:Z14)</f>
        <v>-3.1</v>
      </c>
      <c r="AI14" s="1719">
        <f>SUM(U14:V14)</f>
        <v>-2.4</v>
      </c>
      <c r="AJ14" s="1718">
        <f>SUM(W14:Z14)</f>
        <v>-5</v>
      </c>
      <c r="AK14" s="1719">
        <f>SUM(U14:X14)</f>
        <v>-4.3</v>
      </c>
      <c r="AL14" s="257"/>
      <c r="AN14" s="1717" t="str">
        <f>+[2]rapkvart!A202</f>
        <v>Administrative expenses</v>
      </c>
      <c r="AO14" s="1717"/>
      <c r="AP14" s="1718">
        <f t="shared" si="21"/>
        <v>-1.5</v>
      </c>
      <c r="AQ14" s="1719">
        <f t="shared" si="21"/>
        <v>-1</v>
      </c>
      <c r="AR14" s="1718">
        <f t="shared" si="21"/>
        <v>-3.1</v>
      </c>
      <c r="AS14" s="1719">
        <f t="shared" si="21"/>
        <v>-2.4</v>
      </c>
      <c r="AT14" s="1718">
        <f t="shared" si="21"/>
        <v>-5</v>
      </c>
      <c r="AU14" s="1719">
        <f t="shared" si="21"/>
        <v>-4.3</v>
      </c>
    </row>
    <row r="15" spans="2:47" hidden="1" x14ac:dyDescent="0.15">
      <c r="B15" s="1393" t="str">
        <f>+[2]rapkvart!B203</f>
        <v>Övriga rörelsekostnader</v>
      </c>
      <c r="C15" s="1393"/>
      <c r="D15" s="1328">
        <f>[2]rapkvart!S203</f>
        <v>0</v>
      </c>
      <c r="E15" s="1328">
        <f>[2]rapkvart!T203</f>
        <v>0</v>
      </c>
      <c r="F15" s="1328">
        <f>[2]rapkvart!U203</f>
        <v>0</v>
      </c>
      <c r="G15" s="1328">
        <f>[2]rapkvart!V203</f>
        <v>0</v>
      </c>
      <c r="H15" s="1328">
        <f>[2]rapkvart!O203</f>
        <v>0</v>
      </c>
      <c r="I15" s="1328">
        <f>[2]rapkvart!P203</f>
        <v>0</v>
      </c>
      <c r="J15" s="1328">
        <f>[2]rapkvart!Q203</f>
        <v>0</v>
      </c>
      <c r="K15" s="1328">
        <f>[2]rapkvart!R203</f>
        <v>0</v>
      </c>
      <c r="L15" s="1328">
        <f>[2]rapkvart!K203</f>
        <v>0</v>
      </c>
      <c r="M15" s="1328">
        <f>[2]rapkvart!L203</f>
        <v>0</v>
      </c>
      <c r="N15" s="1328">
        <f>[2]rapkvart!M203</f>
        <v>0</v>
      </c>
      <c r="O15" s="1328">
        <f>[2]rapkvart!N203</f>
        <v>0</v>
      </c>
      <c r="P15" s="889"/>
      <c r="Q15" s="1310">
        <f t="shared" si="10"/>
        <v>0</v>
      </c>
      <c r="R15" s="1386">
        <f t="shared" si="11"/>
        <v>0</v>
      </c>
      <c r="S15" s="1386">
        <f t="shared" si="12"/>
        <v>0</v>
      </c>
      <c r="T15" s="1386">
        <f t="shared" si="13"/>
        <v>0</v>
      </c>
      <c r="U15" s="1310">
        <f t="shared" si="14"/>
        <v>0</v>
      </c>
      <c r="V15" s="1386">
        <f t="shared" si="15"/>
        <v>0</v>
      </c>
      <c r="W15" s="1386">
        <f t="shared" si="16"/>
        <v>0</v>
      </c>
      <c r="X15" s="1386">
        <f t="shared" si="17"/>
        <v>0</v>
      </c>
      <c r="Y15" s="1310">
        <f t="shared" si="18"/>
        <v>0</v>
      </c>
      <c r="Z15" s="1386">
        <f t="shared" si="19"/>
        <v>0</v>
      </c>
      <c r="AA15" s="1386">
        <f t="shared" si="8"/>
        <v>0</v>
      </c>
      <c r="AB15" s="1386">
        <f t="shared" si="8"/>
        <v>0</v>
      </c>
      <c r="AD15" s="944" t="str">
        <f t="shared" si="20"/>
        <v>Övriga rörelsekostnader</v>
      </c>
      <c r="AE15" s="944"/>
      <c r="AF15" s="1266">
        <f>Z15</f>
        <v>0</v>
      </c>
      <c r="AG15" s="1267">
        <f>V15</f>
        <v>0</v>
      </c>
      <c r="AH15" s="1266">
        <f>SUM(Y15:Z15)</f>
        <v>0</v>
      </c>
      <c r="AI15" s="1267">
        <f>SUM(U15:V15)</f>
        <v>0</v>
      </c>
      <c r="AJ15" s="1266">
        <f>SUM(W15:Z15)</f>
        <v>0</v>
      </c>
      <c r="AK15" s="1267">
        <f>SUM(U15:X15)</f>
        <v>0</v>
      </c>
      <c r="AL15" s="257"/>
      <c r="AN15" s="944" t="s">
        <v>251</v>
      </c>
      <c r="AO15" s="944"/>
      <c r="AP15" s="1266">
        <f t="shared" si="21"/>
        <v>0</v>
      </c>
      <c r="AQ15" s="1267">
        <f t="shared" si="21"/>
        <v>0</v>
      </c>
      <c r="AR15" s="1266">
        <f t="shared" si="21"/>
        <v>0</v>
      </c>
      <c r="AS15" s="1267">
        <f t="shared" si="21"/>
        <v>0</v>
      </c>
      <c r="AT15" s="1266">
        <f t="shared" si="21"/>
        <v>0</v>
      </c>
      <c r="AU15" s="1267">
        <f t="shared" si="21"/>
        <v>0</v>
      </c>
    </row>
    <row r="16" spans="2:47" x14ac:dyDescent="0.15">
      <c r="B16" s="1394" t="str">
        <f>+[2]rapkvart!B204</f>
        <v>Rörelseresultat</v>
      </c>
      <c r="C16" s="1394"/>
      <c r="D16" s="1389">
        <f>[2]rapkvart!S204</f>
        <v>7.5</v>
      </c>
      <c r="E16" s="1389">
        <f>[2]rapkvart!T204</f>
        <v>15.100000000000003</v>
      </c>
      <c r="F16" s="1389">
        <f>[2]rapkvart!U204</f>
        <v>22.5</v>
      </c>
      <c r="G16" s="1389">
        <f>[2]rapkvart!V204</f>
        <v>29.800000000000004</v>
      </c>
      <c r="H16" s="1389">
        <f>[2]rapkvart!O204</f>
        <v>6.7000000000000011</v>
      </c>
      <c r="I16" s="1389">
        <f>[2]rapkvart!P204</f>
        <v>13.9</v>
      </c>
      <c r="J16" s="1389">
        <f>[2]rapkvart!Q204</f>
        <v>21.3</v>
      </c>
      <c r="K16" s="1389">
        <f>[2]rapkvart!R204</f>
        <v>28.7</v>
      </c>
      <c r="L16" s="1389">
        <f>[2]rapkvart!K204</f>
        <v>6.4</v>
      </c>
      <c r="M16" s="1389">
        <f>[2]rapkvart!L204</f>
        <v>13.700000000000001</v>
      </c>
      <c r="N16" s="1389">
        <f>[2]rapkvart!M204</f>
        <v>21.3</v>
      </c>
      <c r="O16" s="1389">
        <f>[2]rapkvart!N204</f>
        <v>28.7</v>
      </c>
      <c r="P16" s="889"/>
      <c r="Q16" s="1311">
        <f t="shared" si="10"/>
        <v>7.5</v>
      </c>
      <c r="R16" s="1387">
        <f t="shared" si="11"/>
        <v>7.6000000000000032</v>
      </c>
      <c r="S16" s="1387">
        <f t="shared" si="12"/>
        <v>7.3999999999999968</v>
      </c>
      <c r="T16" s="1387">
        <f t="shared" si="13"/>
        <v>7.3000000000000043</v>
      </c>
      <c r="U16" s="1311">
        <f t="shared" si="14"/>
        <v>6.7000000000000011</v>
      </c>
      <c r="V16" s="1387">
        <f t="shared" si="15"/>
        <v>7.1999999999999993</v>
      </c>
      <c r="W16" s="1387">
        <f t="shared" si="16"/>
        <v>7.4</v>
      </c>
      <c r="X16" s="1387">
        <f t="shared" si="17"/>
        <v>7.3999999999999986</v>
      </c>
      <c r="Y16" s="1311">
        <f t="shared" si="18"/>
        <v>6.4</v>
      </c>
      <c r="Z16" s="1387">
        <f t="shared" si="19"/>
        <v>7.3000000000000007</v>
      </c>
      <c r="AA16" s="1387">
        <f t="shared" si="8"/>
        <v>7.6</v>
      </c>
      <c r="AB16" s="1387">
        <f t="shared" si="8"/>
        <v>7.3999999999999986</v>
      </c>
      <c r="AD16" s="1714" t="str">
        <f t="shared" si="20"/>
        <v>Rörelseresultat</v>
      </c>
      <c r="AE16" s="1714"/>
      <c r="AF16" s="1715">
        <f>Z16</f>
        <v>7.3000000000000007</v>
      </c>
      <c r="AG16" s="1716">
        <f>V16</f>
        <v>7.1999999999999993</v>
      </c>
      <c r="AH16" s="1715">
        <f>SUM(Y16:Z16)</f>
        <v>13.700000000000001</v>
      </c>
      <c r="AI16" s="1716">
        <f>SUM(U16:V16)</f>
        <v>13.9</v>
      </c>
      <c r="AJ16" s="1715">
        <f>SUM(W16:Z16)</f>
        <v>28.5</v>
      </c>
      <c r="AK16" s="1716">
        <f>SUM(U16:X16)</f>
        <v>28.7</v>
      </c>
      <c r="AL16" s="257"/>
      <c r="AN16" s="944" t="str">
        <f>+[2]rapkvart!A204</f>
        <v>Operating income</v>
      </c>
      <c r="AO16" s="944"/>
      <c r="AP16" s="1266">
        <f t="shared" si="21"/>
        <v>7.3000000000000007</v>
      </c>
      <c r="AQ16" s="1267">
        <f t="shared" si="21"/>
        <v>7.1999999999999993</v>
      </c>
      <c r="AR16" s="1266">
        <f t="shared" si="21"/>
        <v>13.700000000000001</v>
      </c>
      <c r="AS16" s="1267">
        <f t="shared" si="21"/>
        <v>13.9</v>
      </c>
      <c r="AT16" s="1266">
        <f t="shared" si="21"/>
        <v>28.5</v>
      </c>
      <c r="AU16" s="1267">
        <f t="shared" si="21"/>
        <v>28.7</v>
      </c>
    </row>
    <row r="17" spans="2:47" x14ac:dyDescent="0.15">
      <c r="B17" s="1393"/>
      <c r="C17" s="1393"/>
      <c r="D17" s="1328">
        <f>[2]rapkvart!S205</f>
        <v>0</v>
      </c>
      <c r="E17" s="1328">
        <f>[2]rapkvart!T205</f>
        <v>0</v>
      </c>
      <c r="F17" s="1328">
        <f>[2]rapkvart!U205</f>
        <v>0</v>
      </c>
      <c r="G17" s="1328">
        <f>[2]rapkvart!V205</f>
        <v>0</v>
      </c>
      <c r="H17" s="1328">
        <f>[2]rapkvart!O205</f>
        <v>0</v>
      </c>
      <c r="I17" s="1328">
        <f>[2]rapkvart!P205</f>
        <v>0</v>
      </c>
      <c r="J17" s="1328">
        <f>[2]rapkvart!Q205</f>
        <v>0</v>
      </c>
      <c r="K17" s="1328">
        <f>[2]rapkvart!R205</f>
        <v>0</v>
      </c>
      <c r="L17" s="1328">
        <f>[2]rapkvart!K205</f>
        <v>0</v>
      </c>
      <c r="M17" s="1328">
        <f>[2]rapkvart!L205</f>
        <v>0</v>
      </c>
      <c r="N17" s="1328">
        <f>[2]rapkvart!M205</f>
        <v>0</v>
      </c>
      <c r="O17" s="1328">
        <f>[2]rapkvart!N205</f>
        <v>0</v>
      </c>
      <c r="P17" s="889"/>
      <c r="Q17" s="1310">
        <f t="shared" si="10"/>
        <v>0</v>
      </c>
      <c r="R17" s="1386">
        <f t="shared" si="11"/>
        <v>0</v>
      </c>
      <c r="S17" s="1386">
        <f t="shared" si="12"/>
        <v>0</v>
      </c>
      <c r="T17" s="1386">
        <f t="shared" si="13"/>
        <v>0</v>
      </c>
      <c r="U17" s="1310">
        <f t="shared" si="14"/>
        <v>0</v>
      </c>
      <c r="V17" s="1386">
        <f t="shared" si="15"/>
        <v>0</v>
      </c>
      <c r="W17" s="1386">
        <f t="shared" si="16"/>
        <v>0</v>
      </c>
      <c r="X17" s="1386">
        <f t="shared" si="17"/>
        <v>0</v>
      </c>
      <c r="Y17" s="1310">
        <f t="shared" si="18"/>
        <v>0</v>
      </c>
      <c r="Z17" s="1386">
        <f t="shared" si="19"/>
        <v>0</v>
      </c>
      <c r="AA17" s="1386">
        <f t="shared" si="8"/>
        <v>0</v>
      </c>
      <c r="AB17" s="1386">
        <f t="shared" si="8"/>
        <v>0</v>
      </c>
      <c r="AD17" s="943"/>
      <c r="AE17" s="943"/>
      <c r="AF17" s="1268"/>
      <c r="AG17" s="1269"/>
      <c r="AH17" s="1268"/>
      <c r="AI17" s="1269"/>
      <c r="AJ17" s="1268"/>
      <c r="AK17" s="1269"/>
      <c r="AL17" s="257"/>
      <c r="AN17" s="1594"/>
      <c r="AO17" s="1594"/>
      <c r="AP17" s="178"/>
      <c r="AQ17" s="179"/>
      <c r="AR17" s="178"/>
      <c r="AS17" s="179"/>
      <c r="AT17" s="178"/>
      <c r="AU17" s="179"/>
    </row>
    <row r="18" spans="2:47" x14ac:dyDescent="0.15">
      <c r="B18" s="1390" t="str">
        <f>+[2]rapkvart!B206</f>
        <v>Resultat från andelar i dotterbolag</v>
      </c>
      <c r="C18" s="1390"/>
      <c r="D18" s="1316">
        <f>[2]rapkvart!S206</f>
        <v>0</v>
      </c>
      <c r="E18" s="1316">
        <f>[2]rapkvart!T206</f>
        <v>0</v>
      </c>
      <c r="F18" s="1316">
        <f>[2]rapkvart!U206</f>
        <v>16.2</v>
      </c>
      <c r="G18" s="1316">
        <f>[2]rapkvart!V206</f>
        <v>80.2</v>
      </c>
      <c r="H18" s="1316">
        <f>[2]rapkvart!O206</f>
        <v>12.3</v>
      </c>
      <c r="I18" s="1316">
        <f>[2]rapkvart!P206</f>
        <v>12.3</v>
      </c>
      <c r="J18" s="1316">
        <f>[2]rapkvart!Q206</f>
        <v>12.3</v>
      </c>
      <c r="K18" s="1316">
        <f>[2]rapkvart!R206</f>
        <v>12.3</v>
      </c>
      <c r="L18" s="1316">
        <f>[2]rapkvart!K206</f>
        <v>0</v>
      </c>
      <c r="M18" s="1316">
        <f>[2]rapkvart!L206</f>
        <v>20</v>
      </c>
      <c r="N18" s="1316">
        <f>[2]rapkvart!M206</f>
        <v>12.3</v>
      </c>
      <c r="O18" s="1316">
        <f>[2]rapkvart!N206</f>
        <v>12.3</v>
      </c>
      <c r="P18" s="889"/>
      <c r="Q18" s="1307">
        <f t="shared" si="10"/>
        <v>0</v>
      </c>
      <c r="R18" s="1383">
        <f t="shared" si="11"/>
        <v>0</v>
      </c>
      <c r="S18" s="1383">
        <f t="shared" si="12"/>
        <v>16.2</v>
      </c>
      <c r="T18" s="1383">
        <f t="shared" si="13"/>
        <v>64</v>
      </c>
      <c r="U18" s="1307">
        <f t="shared" si="14"/>
        <v>12.3</v>
      </c>
      <c r="V18" s="1383">
        <f t="shared" si="15"/>
        <v>0</v>
      </c>
      <c r="W18" s="1383">
        <f t="shared" si="16"/>
        <v>0</v>
      </c>
      <c r="X18" s="1383">
        <f t="shared" si="17"/>
        <v>0</v>
      </c>
      <c r="Y18" s="1307">
        <f t="shared" si="18"/>
        <v>0</v>
      </c>
      <c r="Z18" s="1383">
        <f t="shared" si="19"/>
        <v>20</v>
      </c>
      <c r="AA18" s="1383">
        <f t="shared" si="8"/>
        <v>-7.6999999999999993</v>
      </c>
      <c r="AB18" s="1383">
        <f t="shared" si="8"/>
        <v>0</v>
      </c>
      <c r="AD18" s="942" t="str">
        <f t="shared" si="20"/>
        <v>Resultat från andelar i dotterbolag</v>
      </c>
      <c r="AE18" s="942"/>
      <c r="AF18" s="178">
        <f>Z18</f>
        <v>20</v>
      </c>
      <c r="AG18" s="179">
        <f>V18</f>
        <v>0</v>
      </c>
      <c r="AH18" s="178">
        <f>SUM(Y18:Z18)</f>
        <v>20</v>
      </c>
      <c r="AI18" s="179">
        <f>SUM(U18:V18)</f>
        <v>12.3</v>
      </c>
      <c r="AJ18" s="178">
        <f>SUM(W18:Z18)</f>
        <v>20</v>
      </c>
      <c r="AK18" s="179">
        <f>SUM(U18:X18)</f>
        <v>12.3</v>
      </c>
      <c r="AL18" s="257"/>
      <c r="AN18" s="942" t="str">
        <f>+[2]rapkvart!A206</f>
        <v>Result from shares in group companies</v>
      </c>
      <c r="AO18" s="942"/>
      <c r="AP18" s="1270">
        <f t="shared" ref="AP18:AU22" si="22">AF18</f>
        <v>20</v>
      </c>
      <c r="AQ18" s="179">
        <f t="shared" si="22"/>
        <v>0</v>
      </c>
      <c r="AR18" s="1270">
        <f t="shared" si="22"/>
        <v>20</v>
      </c>
      <c r="AS18" s="179">
        <f t="shared" si="22"/>
        <v>12.3</v>
      </c>
      <c r="AT18" s="1270">
        <f t="shared" si="22"/>
        <v>20</v>
      </c>
      <c r="AU18" s="179">
        <f t="shared" si="22"/>
        <v>12.3</v>
      </c>
    </row>
    <row r="19" spans="2:47" x14ac:dyDescent="0.15">
      <c r="B19" s="1390" t="str">
        <f>+[2]rapkvart!B207</f>
        <v>Nedskrivning andelar i dotterbolag</v>
      </c>
      <c r="C19" s="1390"/>
      <c r="D19" s="1316">
        <f>[2]rapkvart!S207</f>
        <v>0</v>
      </c>
      <c r="E19" s="1316">
        <f>[2]rapkvart!T207</f>
        <v>0</v>
      </c>
      <c r="F19" s="1316">
        <f>[2]rapkvart!U207</f>
        <v>0</v>
      </c>
      <c r="G19" s="1316">
        <f>[2]rapkvart!V207</f>
        <v>0</v>
      </c>
      <c r="H19" s="1316">
        <f>[2]rapkvart!O207</f>
        <v>0</v>
      </c>
      <c r="I19" s="1316">
        <f>[2]rapkvart!P207</f>
        <v>0</v>
      </c>
      <c r="J19" s="1316">
        <f>[2]rapkvart!Q207</f>
        <v>0</v>
      </c>
      <c r="K19" s="1316">
        <f>[2]rapkvart!R207</f>
        <v>-23.7</v>
      </c>
      <c r="L19" s="1316">
        <f>[2]rapkvart!K207</f>
        <v>0</v>
      </c>
      <c r="M19" s="1316">
        <f>[2]rapkvart!L207</f>
        <v>0</v>
      </c>
      <c r="N19" s="1316">
        <f>[2]rapkvart!M207</f>
        <v>0</v>
      </c>
      <c r="O19" s="1316">
        <f>[2]rapkvart!N207</f>
        <v>-23.7</v>
      </c>
      <c r="P19" s="889"/>
      <c r="Q19" s="1307">
        <f t="shared" si="10"/>
        <v>0</v>
      </c>
      <c r="R19" s="1383">
        <f t="shared" si="11"/>
        <v>0</v>
      </c>
      <c r="S19" s="1383">
        <f t="shared" si="12"/>
        <v>0</v>
      </c>
      <c r="T19" s="1383">
        <f t="shared" si="13"/>
        <v>0</v>
      </c>
      <c r="U19" s="1307">
        <f t="shared" si="14"/>
        <v>0</v>
      </c>
      <c r="V19" s="1383">
        <f t="shared" si="15"/>
        <v>0</v>
      </c>
      <c r="W19" s="1383">
        <f t="shared" si="16"/>
        <v>0</v>
      </c>
      <c r="X19" s="1383">
        <f t="shared" si="17"/>
        <v>-23.7</v>
      </c>
      <c r="Y19" s="1307">
        <f t="shared" si="18"/>
        <v>0</v>
      </c>
      <c r="Z19" s="1383">
        <f t="shared" si="19"/>
        <v>0</v>
      </c>
      <c r="AA19" s="1383">
        <f t="shared" si="8"/>
        <v>0</v>
      </c>
      <c r="AB19" s="1383">
        <f t="shared" si="8"/>
        <v>-23.7</v>
      </c>
      <c r="AD19" s="942" t="str">
        <f t="shared" si="20"/>
        <v>Nedskrivning andelar i dotterbolag</v>
      </c>
      <c r="AE19" s="942"/>
      <c r="AF19" s="1270">
        <f>Z19</f>
        <v>0</v>
      </c>
      <c r="AG19" s="179">
        <f>V19</f>
        <v>0</v>
      </c>
      <c r="AH19" s="1270">
        <f>SUM(Y19:Z19)</f>
        <v>0</v>
      </c>
      <c r="AI19" s="179">
        <f>SUM(U19:V19)</f>
        <v>0</v>
      </c>
      <c r="AJ19" s="1270">
        <f>SUM(W19:Z19)</f>
        <v>-23.7</v>
      </c>
      <c r="AK19" s="179">
        <f>SUM(U19:X19)</f>
        <v>-23.7</v>
      </c>
      <c r="AL19" s="257"/>
      <c r="AN19" s="942" t="str">
        <f>+[2]rapkvart!A207</f>
        <v>Write-down of shares in group companies</v>
      </c>
      <c r="AO19" s="942"/>
      <c r="AP19" s="1270">
        <f t="shared" si="22"/>
        <v>0</v>
      </c>
      <c r="AQ19" s="179">
        <f t="shared" si="22"/>
        <v>0</v>
      </c>
      <c r="AR19" s="1270">
        <f t="shared" si="22"/>
        <v>0</v>
      </c>
      <c r="AS19" s="179">
        <f t="shared" si="22"/>
        <v>0</v>
      </c>
      <c r="AT19" s="1270">
        <f t="shared" si="22"/>
        <v>-23.7</v>
      </c>
      <c r="AU19" s="179">
        <f t="shared" si="22"/>
        <v>-23.7</v>
      </c>
    </row>
    <row r="20" spans="2:47" x14ac:dyDescent="0.15">
      <c r="B20" s="1390" t="str">
        <f>+[2]rapkvart!B208</f>
        <v>Ränteintäkter och liknande resultatposter</v>
      </c>
      <c r="C20" s="1390"/>
      <c r="D20" s="1316">
        <f>[2]rapkvart!S208</f>
        <v>0</v>
      </c>
      <c r="E20" s="1316">
        <f>[2]rapkvart!T208</f>
        <v>0</v>
      </c>
      <c r="F20" s="1316">
        <f>[2]rapkvart!U208</f>
        <v>0.7</v>
      </c>
      <c r="G20" s="1316">
        <f>[2]rapkvart!V208</f>
        <v>2.9</v>
      </c>
      <c r="H20" s="1316">
        <f>[2]rapkvart!O208</f>
        <v>1.3</v>
      </c>
      <c r="I20" s="1316">
        <f>[2]rapkvart!P208</f>
        <v>2.5</v>
      </c>
      <c r="J20" s="1316">
        <f>[2]rapkvart!Q208</f>
        <v>3.5</v>
      </c>
      <c r="K20" s="1316">
        <f>[2]rapkvart!R208</f>
        <v>4.5</v>
      </c>
      <c r="L20" s="1316">
        <f>[2]rapkvart!K208</f>
        <v>1.4</v>
      </c>
      <c r="M20" s="1316">
        <f>[2]rapkvart!L208</f>
        <v>2.7</v>
      </c>
      <c r="N20" s="1316">
        <f>[2]rapkvart!M208</f>
        <v>3.5</v>
      </c>
      <c r="O20" s="1316">
        <f>[2]rapkvart!N208</f>
        <v>4.5</v>
      </c>
      <c r="P20" s="889"/>
      <c r="Q20" s="1307">
        <f t="shared" si="10"/>
        <v>0</v>
      </c>
      <c r="R20" s="1383">
        <f t="shared" si="11"/>
        <v>0</v>
      </c>
      <c r="S20" s="1383">
        <f t="shared" si="12"/>
        <v>0.7</v>
      </c>
      <c r="T20" s="1383">
        <f t="shared" si="13"/>
        <v>2.2000000000000002</v>
      </c>
      <c r="U20" s="1307">
        <f t="shared" si="14"/>
        <v>1.3</v>
      </c>
      <c r="V20" s="1383">
        <f t="shared" si="15"/>
        <v>1.2</v>
      </c>
      <c r="W20" s="1383">
        <f t="shared" si="16"/>
        <v>1</v>
      </c>
      <c r="X20" s="1383">
        <f t="shared" si="17"/>
        <v>1</v>
      </c>
      <c r="Y20" s="1307">
        <f t="shared" si="18"/>
        <v>1.4</v>
      </c>
      <c r="Z20" s="1383">
        <f t="shared" si="19"/>
        <v>1.3000000000000003</v>
      </c>
      <c r="AA20" s="1383">
        <f t="shared" si="8"/>
        <v>0.79999999999999982</v>
      </c>
      <c r="AB20" s="1383">
        <f t="shared" si="8"/>
        <v>1</v>
      </c>
      <c r="AD20" s="942" t="str">
        <f t="shared" si="20"/>
        <v>Ränteintäkter och liknande resultatposter</v>
      </c>
      <c r="AE20" s="942"/>
      <c r="AF20" s="1270">
        <f>Z20</f>
        <v>1.3000000000000003</v>
      </c>
      <c r="AG20" s="179">
        <f>V20</f>
        <v>1.2</v>
      </c>
      <c r="AH20" s="1270">
        <f>SUM(Y20:Z20)</f>
        <v>2.7</v>
      </c>
      <c r="AI20" s="179">
        <f>SUM(U20:V20)</f>
        <v>2.5</v>
      </c>
      <c r="AJ20" s="1270">
        <f>SUM(W20:Z20)</f>
        <v>4.7</v>
      </c>
      <c r="AK20" s="179">
        <f>SUM(U20:X20)</f>
        <v>4.5</v>
      </c>
      <c r="AL20" s="257"/>
      <c r="AN20" s="942" t="str">
        <f>+[2]rapkvart!A208</f>
        <v xml:space="preserve">Interest income and similar income and expense items </v>
      </c>
      <c r="AO20" s="942"/>
      <c r="AP20" s="1270">
        <f t="shared" si="22"/>
        <v>1.3000000000000003</v>
      </c>
      <c r="AQ20" s="179">
        <f t="shared" si="22"/>
        <v>1.2</v>
      </c>
      <c r="AR20" s="1270">
        <f t="shared" si="22"/>
        <v>2.7</v>
      </c>
      <c r="AS20" s="179">
        <f t="shared" si="22"/>
        <v>2.5</v>
      </c>
      <c r="AT20" s="1270">
        <f t="shared" si="22"/>
        <v>4.7</v>
      </c>
      <c r="AU20" s="179">
        <f t="shared" si="22"/>
        <v>4.5</v>
      </c>
    </row>
    <row r="21" spans="2:47" x14ac:dyDescent="0.15">
      <c r="B21" s="1391" t="str">
        <f>+[2]rapkvart!B209</f>
        <v>Räntekostnader och liknande resultatposter</v>
      </c>
      <c r="C21" s="1391"/>
      <c r="D21" s="1326">
        <f>[2]rapkvart!S209</f>
        <v>0</v>
      </c>
      <c r="E21" s="1326">
        <f>[2]rapkvart!T209</f>
        <v>-0.2</v>
      </c>
      <c r="F21" s="1326">
        <f>[2]rapkvart!U209</f>
        <v>-0.2</v>
      </c>
      <c r="G21" s="1326">
        <f>[2]rapkvart!V209</f>
        <v>-0.2</v>
      </c>
      <c r="H21" s="1326">
        <f>[2]rapkvart!O209</f>
        <v>0</v>
      </c>
      <c r="I21" s="1326">
        <f>[2]rapkvart!P209</f>
        <v>-0.4</v>
      </c>
      <c r="J21" s="1326">
        <f>[2]rapkvart!Q209</f>
        <v>-0.4</v>
      </c>
      <c r="K21" s="1326">
        <f>[2]rapkvart!R209</f>
        <v>-0.5</v>
      </c>
      <c r="L21" s="1326">
        <f>[2]rapkvart!K209</f>
        <v>0</v>
      </c>
      <c r="M21" s="1326">
        <f>[2]rapkvart!L209</f>
        <v>-0.1</v>
      </c>
      <c r="N21" s="1326">
        <f>[2]rapkvart!M209</f>
        <v>-0.4</v>
      </c>
      <c r="O21" s="1326">
        <f>[2]rapkvart!N209</f>
        <v>-0.5</v>
      </c>
      <c r="P21" s="889"/>
      <c r="Q21" s="1308">
        <f t="shared" si="10"/>
        <v>0</v>
      </c>
      <c r="R21" s="1384">
        <f t="shared" si="11"/>
        <v>-0.2</v>
      </c>
      <c r="S21" s="1384">
        <f t="shared" si="12"/>
        <v>0</v>
      </c>
      <c r="T21" s="1384">
        <f t="shared" si="13"/>
        <v>0</v>
      </c>
      <c r="U21" s="1308">
        <f t="shared" si="14"/>
        <v>0</v>
      </c>
      <c r="V21" s="1384">
        <f t="shared" si="15"/>
        <v>-0.4</v>
      </c>
      <c r="W21" s="1384">
        <f t="shared" si="16"/>
        <v>0</v>
      </c>
      <c r="X21" s="1384">
        <f t="shared" si="17"/>
        <v>-9.9999999999999978E-2</v>
      </c>
      <c r="Y21" s="1308">
        <f t="shared" si="18"/>
        <v>0</v>
      </c>
      <c r="Z21" s="1384">
        <f t="shared" si="19"/>
        <v>-0.1</v>
      </c>
      <c r="AA21" s="1384">
        <f t="shared" si="8"/>
        <v>-0.30000000000000004</v>
      </c>
      <c r="AB21" s="1384">
        <f t="shared" si="8"/>
        <v>-9.9999999999999978E-2</v>
      </c>
      <c r="AD21" s="1717" t="str">
        <f t="shared" si="20"/>
        <v>Räntekostnader och liknande resultatposter</v>
      </c>
      <c r="AE21" s="1717"/>
      <c r="AF21" s="1718">
        <f>Z21</f>
        <v>-0.1</v>
      </c>
      <c r="AG21" s="1719">
        <f>V21</f>
        <v>-0.4</v>
      </c>
      <c r="AH21" s="1718">
        <f>SUM(Y21:Z21)</f>
        <v>-0.1</v>
      </c>
      <c r="AI21" s="1719">
        <f>SUM(U21:V21)</f>
        <v>-0.4</v>
      </c>
      <c r="AJ21" s="1718">
        <f>SUM(W21:Z21)</f>
        <v>-0.19999999999999998</v>
      </c>
      <c r="AK21" s="1719">
        <f>SUM(U21:X21)</f>
        <v>-0.5</v>
      </c>
      <c r="AL21" s="257"/>
      <c r="AN21" s="1717" t="str">
        <f>+[2]rapkvart!A209</f>
        <v>Interest expenses and similar income and expense items</v>
      </c>
      <c r="AO21" s="1717"/>
      <c r="AP21" s="1718">
        <f t="shared" si="22"/>
        <v>-0.1</v>
      </c>
      <c r="AQ21" s="1719">
        <f t="shared" si="22"/>
        <v>-0.4</v>
      </c>
      <c r="AR21" s="1718">
        <f t="shared" si="22"/>
        <v>-0.1</v>
      </c>
      <c r="AS21" s="1719">
        <f t="shared" si="22"/>
        <v>-0.4</v>
      </c>
      <c r="AT21" s="1718">
        <f t="shared" si="22"/>
        <v>-0.19999999999999998</v>
      </c>
      <c r="AU21" s="1719">
        <f t="shared" si="22"/>
        <v>-0.5</v>
      </c>
    </row>
    <row r="22" spans="2:47" x14ac:dyDescent="0.15">
      <c r="B22" s="1392" t="str">
        <f>+[2]rapkvart!B210</f>
        <v>Resultat efter finansiella poster</v>
      </c>
      <c r="C22" s="1392"/>
      <c r="D22" s="1327">
        <f>[2]rapkvart!S210</f>
        <v>7.5</v>
      </c>
      <c r="E22" s="1327">
        <f>[2]rapkvart!T210</f>
        <v>14.900000000000004</v>
      </c>
      <c r="F22" s="1327">
        <f>[2]rapkvart!U210</f>
        <v>39.200000000000003</v>
      </c>
      <c r="G22" s="1327">
        <f>[2]rapkvart!V210</f>
        <v>112.7</v>
      </c>
      <c r="H22" s="1327">
        <f>[2]rapkvart!O210</f>
        <v>20.3</v>
      </c>
      <c r="I22" s="1327">
        <f>[2]rapkvart!P210</f>
        <v>28.300000000000004</v>
      </c>
      <c r="J22" s="1327">
        <f>[2]rapkvart!Q210</f>
        <v>36.700000000000003</v>
      </c>
      <c r="K22" s="1327">
        <f>[2]rapkvart!R210</f>
        <v>21.3</v>
      </c>
      <c r="L22" s="1327">
        <f>[2]rapkvart!K210</f>
        <v>7.8000000000000007</v>
      </c>
      <c r="M22" s="1327">
        <f>[2]rapkvart!L210</f>
        <v>36.300000000000004</v>
      </c>
      <c r="N22" s="1327">
        <f>[2]rapkvart!M210</f>
        <v>36.700000000000003</v>
      </c>
      <c r="O22" s="1327">
        <f>[2]rapkvart!N210</f>
        <v>21.3</v>
      </c>
      <c r="P22" s="889"/>
      <c r="Q22" s="1309">
        <f t="shared" si="10"/>
        <v>7.5</v>
      </c>
      <c r="R22" s="1385">
        <f t="shared" si="11"/>
        <v>7.4000000000000039</v>
      </c>
      <c r="S22" s="1385">
        <f t="shared" si="12"/>
        <v>24.299999999999997</v>
      </c>
      <c r="T22" s="1385">
        <f t="shared" si="13"/>
        <v>73.5</v>
      </c>
      <c r="U22" s="1309">
        <f t="shared" si="14"/>
        <v>20.3</v>
      </c>
      <c r="V22" s="1385">
        <f t="shared" si="15"/>
        <v>8.0000000000000036</v>
      </c>
      <c r="W22" s="1385">
        <f t="shared" si="16"/>
        <v>8.3999999999999986</v>
      </c>
      <c r="X22" s="1385">
        <f t="shared" si="17"/>
        <v>-15.400000000000002</v>
      </c>
      <c r="Y22" s="1309">
        <f t="shared" si="18"/>
        <v>7.8000000000000007</v>
      </c>
      <c r="Z22" s="1385">
        <f t="shared" si="19"/>
        <v>28.500000000000004</v>
      </c>
      <c r="AA22" s="1385">
        <f t="shared" si="8"/>
        <v>0.39999999999999858</v>
      </c>
      <c r="AB22" s="1385">
        <f t="shared" si="8"/>
        <v>-15.400000000000002</v>
      </c>
      <c r="AD22" s="944" t="str">
        <f t="shared" si="20"/>
        <v>Resultat efter finansiella poster</v>
      </c>
      <c r="AE22" s="944"/>
      <c r="AF22" s="1266">
        <f>Z22</f>
        <v>28.500000000000004</v>
      </c>
      <c r="AG22" s="1267">
        <f>V22</f>
        <v>8.0000000000000036</v>
      </c>
      <c r="AH22" s="1266">
        <f>SUM(Y22:Z22)</f>
        <v>36.300000000000004</v>
      </c>
      <c r="AI22" s="1267">
        <f>SUM(U22:V22)</f>
        <v>28.300000000000004</v>
      </c>
      <c r="AJ22" s="1266">
        <f>SUM(W22:Z22)</f>
        <v>29.3</v>
      </c>
      <c r="AK22" s="1267">
        <f>SUM(U22:X22)</f>
        <v>21.3</v>
      </c>
      <c r="AL22" s="257"/>
      <c r="AN22" s="944" t="str">
        <f>+[2]rapkvart!A210</f>
        <v>Income after financial items</v>
      </c>
      <c r="AO22" s="944"/>
      <c r="AP22" s="1266">
        <f t="shared" si="22"/>
        <v>28.500000000000004</v>
      </c>
      <c r="AQ22" s="1267">
        <f t="shared" si="22"/>
        <v>8.0000000000000036</v>
      </c>
      <c r="AR22" s="1266">
        <f t="shared" si="22"/>
        <v>36.300000000000004</v>
      </c>
      <c r="AS22" s="1267">
        <f t="shared" si="22"/>
        <v>28.300000000000004</v>
      </c>
      <c r="AT22" s="1266">
        <f t="shared" si="22"/>
        <v>29.3</v>
      </c>
      <c r="AU22" s="1267">
        <f t="shared" si="22"/>
        <v>21.3</v>
      </c>
    </row>
    <row r="23" spans="2:47" x14ac:dyDescent="0.15">
      <c r="B23" s="1393"/>
      <c r="C23" s="1393"/>
      <c r="D23" s="1328">
        <f>[2]rapkvart!S211</f>
        <v>0</v>
      </c>
      <c r="E23" s="1328">
        <f>[2]rapkvart!T211</f>
        <v>0</v>
      </c>
      <c r="F23" s="1328">
        <f>[2]rapkvart!U211</f>
        <v>0</v>
      </c>
      <c r="G23" s="1328">
        <f>[2]rapkvart!V211</f>
        <v>0</v>
      </c>
      <c r="H23" s="1328">
        <f>[2]rapkvart!O211</f>
        <v>0</v>
      </c>
      <c r="I23" s="1328">
        <f>[2]rapkvart!P211</f>
        <v>0</v>
      </c>
      <c r="J23" s="1328">
        <f>[2]rapkvart!Q211</f>
        <v>0</v>
      </c>
      <c r="K23" s="1328">
        <f>[2]rapkvart!R211</f>
        <v>0</v>
      </c>
      <c r="L23" s="1328">
        <f>[2]rapkvart!K211</f>
        <v>0</v>
      </c>
      <c r="M23" s="1328">
        <f>[2]rapkvart!L211</f>
        <v>0</v>
      </c>
      <c r="N23" s="1328">
        <f>[2]rapkvart!M211</f>
        <v>0</v>
      </c>
      <c r="O23" s="1328">
        <f>[2]rapkvart!N211</f>
        <v>0</v>
      </c>
      <c r="P23" s="889"/>
      <c r="Q23" s="1310">
        <f t="shared" si="10"/>
        <v>0</v>
      </c>
      <c r="R23" s="1386">
        <f t="shared" si="11"/>
        <v>0</v>
      </c>
      <c r="S23" s="1386">
        <f t="shared" si="12"/>
        <v>0</v>
      </c>
      <c r="T23" s="1386">
        <f t="shared" si="13"/>
        <v>0</v>
      </c>
      <c r="U23" s="1310">
        <f t="shared" si="14"/>
        <v>0</v>
      </c>
      <c r="V23" s="1386">
        <f t="shared" si="15"/>
        <v>0</v>
      </c>
      <c r="W23" s="1386">
        <f t="shared" si="16"/>
        <v>0</v>
      </c>
      <c r="X23" s="1386">
        <f t="shared" si="17"/>
        <v>0</v>
      </c>
      <c r="Y23" s="1310">
        <f t="shared" si="18"/>
        <v>0</v>
      </c>
      <c r="Z23" s="1386">
        <f t="shared" si="19"/>
        <v>0</v>
      </c>
      <c r="AA23" s="1386">
        <f t="shared" si="8"/>
        <v>0</v>
      </c>
      <c r="AB23" s="1386">
        <f t="shared" si="8"/>
        <v>0</v>
      </c>
      <c r="AD23" s="943"/>
      <c r="AE23" s="943"/>
      <c r="AF23" s="1268"/>
      <c r="AG23" s="1269"/>
      <c r="AH23" s="1268"/>
      <c r="AI23" s="1269"/>
      <c r="AJ23" s="1268"/>
      <c r="AK23" s="1269"/>
      <c r="AL23" s="257"/>
      <c r="AN23" s="943"/>
      <c r="AO23" s="943"/>
      <c r="AP23" s="1268"/>
      <c r="AQ23" s="1269"/>
      <c r="AR23" s="1268"/>
      <c r="AS23" s="1269"/>
      <c r="AT23" s="1268"/>
      <c r="AU23" s="1269"/>
    </row>
    <row r="24" spans="2:47" x14ac:dyDescent="0.15">
      <c r="B24" s="1391" t="str">
        <f>+[2]rapkvart!B212</f>
        <v>Bokslutsdispositioner</v>
      </c>
      <c r="C24" s="1391"/>
      <c r="D24" s="1326">
        <f>[2]rapkvart!S212</f>
        <v>0</v>
      </c>
      <c r="E24" s="1326">
        <f>[2]rapkvart!T212</f>
        <v>0</v>
      </c>
      <c r="F24" s="1326">
        <f>[2]rapkvart!U212</f>
        <v>0</v>
      </c>
      <c r="G24" s="1326">
        <f>[2]rapkvart!V212</f>
        <v>3.6</v>
      </c>
      <c r="H24" s="1326">
        <f>[2]rapkvart!O212</f>
        <v>0</v>
      </c>
      <c r="I24" s="1326">
        <f>[2]rapkvart!P212</f>
        <v>0</v>
      </c>
      <c r="J24" s="1326">
        <f>[2]rapkvart!Q212</f>
        <v>0</v>
      </c>
      <c r="K24" s="1326">
        <f>[2]rapkvart!R212</f>
        <v>41.9</v>
      </c>
      <c r="L24" s="1326">
        <f>[2]rapkvart!K212</f>
        <v>0</v>
      </c>
      <c r="M24" s="1326">
        <f>[2]rapkvart!L212</f>
        <v>0</v>
      </c>
      <c r="N24" s="1326">
        <f>[2]rapkvart!M212</f>
        <v>0</v>
      </c>
      <c r="O24" s="1326">
        <f>[2]rapkvart!N212</f>
        <v>41.9</v>
      </c>
      <c r="P24" s="889"/>
      <c r="Q24" s="1308">
        <f t="shared" si="10"/>
        <v>0</v>
      </c>
      <c r="R24" s="1384">
        <f t="shared" si="11"/>
        <v>0</v>
      </c>
      <c r="S24" s="1384">
        <f t="shared" si="12"/>
        <v>0</v>
      </c>
      <c r="T24" s="1384">
        <f t="shared" si="13"/>
        <v>3.6</v>
      </c>
      <c r="U24" s="1308">
        <f t="shared" si="14"/>
        <v>0</v>
      </c>
      <c r="V24" s="1384">
        <f t="shared" si="15"/>
        <v>0</v>
      </c>
      <c r="W24" s="1384">
        <f t="shared" si="16"/>
        <v>0</v>
      </c>
      <c r="X24" s="1384">
        <f t="shared" si="17"/>
        <v>41.9</v>
      </c>
      <c r="Y24" s="1308">
        <f t="shared" si="18"/>
        <v>0</v>
      </c>
      <c r="Z24" s="1384">
        <f t="shared" si="19"/>
        <v>0</v>
      </c>
      <c r="AA24" s="1384">
        <f t="shared" si="8"/>
        <v>0</v>
      </c>
      <c r="AB24" s="1384">
        <f t="shared" si="8"/>
        <v>41.9</v>
      </c>
      <c r="AD24" s="1717" t="str">
        <f t="shared" si="20"/>
        <v>Bokslutsdispositioner</v>
      </c>
      <c r="AE24" s="1717"/>
      <c r="AF24" s="1718">
        <f>Z24</f>
        <v>0</v>
      </c>
      <c r="AG24" s="1719">
        <f>V24</f>
        <v>0</v>
      </c>
      <c r="AH24" s="1718">
        <f>SUM(Y24:Z24)</f>
        <v>0</v>
      </c>
      <c r="AI24" s="1719">
        <f>SUM(U24:V24)</f>
        <v>0</v>
      </c>
      <c r="AJ24" s="1718">
        <f>SUM(W24:Z24)</f>
        <v>41.9</v>
      </c>
      <c r="AK24" s="1719">
        <f>SUM(U24:X24)</f>
        <v>41.9</v>
      </c>
      <c r="AL24" s="257"/>
      <c r="AN24" s="1717" t="str">
        <f>+[2]rapkvart!A212</f>
        <v>Appropriations</v>
      </c>
      <c r="AO24" s="1717"/>
      <c r="AP24" s="1718">
        <f t="shared" ref="AP24:AU25" si="23">AF24</f>
        <v>0</v>
      </c>
      <c r="AQ24" s="1719">
        <f t="shared" si="23"/>
        <v>0</v>
      </c>
      <c r="AR24" s="1718">
        <f t="shared" si="23"/>
        <v>0</v>
      </c>
      <c r="AS24" s="1719">
        <f t="shared" si="23"/>
        <v>0</v>
      </c>
      <c r="AT24" s="1718">
        <f t="shared" si="23"/>
        <v>41.9</v>
      </c>
      <c r="AU24" s="1719">
        <f t="shared" si="23"/>
        <v>41.9</v>
      </c>
    </row>
    <row r="25" spans="2:47" x14ac:dyDescent="0.15">
      <c r="B25" s="1392" t="str">
        <f>+[2]rapkvart!B213</f>
        <v>Resultat före skatt</v>
      </c>
      <c r="C25" s="1392"/>
      <c r="D25" s="1327">
        <f>[2]rapkvart!S213</f>
        <v>7.5</v>
      </c>
      <c r="E25" s="1327">
        <f>[2]rapkvart!T213</f>
        <v>14.900000000000004</v>
      </c>
      <c r="F25" s="1327">
        <f>[2]rapkvart!U213</f>
        <v>39.200000000000003</v>
      </c>
      <c r="G25" s="1327">
        <f>[2]rapkvart!V213</f>
        <v>116.3</v>
      </c>
      <c r="H25" s="1327">
        <f>[2]rapkvart!O213</f>
        <v>20.3</v>
      </c>
      <c r="I25" s="1327">
        <f>[2]rapkvart!P213</f>
        <v>28.300000000000004</v>
      </c>
      <c r="J25" s="1327">
        <f>[2]rapkvart!Q213</f>
        <v>36.700000000000003</v>
      </c>
      <c r="K25" s="1327">
        <f>[2]rapkvart!R213</f>
        <v>63.2</v>
      </c>
      <c r="L25" s="1327">
        <f>[2]rapkvart!K213</f>
        <v>7.8000000000000007</v>
      </c>
      <c r="M25" s="1327">
        <f>[2]rapkvart!L213</f>
        <v>36.300000000000004</v>
      </c>
      <c r="N25" s="1327">
        <f>[2]rapkvart!M213</f>
        <v>36.700000000000003</v>
      </c>
      <c r="O25" s="1327">
        <f>[2]rapkvart!N213</f>
        <v>63.2</v>
      </c>
      <c r="P25" s="889"/>
      <c r="Q25" s="1309">
        <f t="shared" si="10"/>
        <v>7.5</v>
      </c>
      <c r="R25" s="1385">
        <f t="shared" si="11"/>
        <v>7.4000000000000039</v>
      </c>
      <c r="S25" s="1385">
        <f t="shared" si="12"/>
        <v>24.299999999999997</v>
      </c>
      <c r="T25" s="1385">
        <f t="shared" si="13"/>
        <v>77.099999999999994</v>
      </c>
      <c r="U25" s="1309">
        <f t="shared" si="14"/>
        <v>20.3</v>
      </c>
      <c r="V25" s="1385">
        <f t="shared" si="15"/>
        <v>8.0000000000000036</v>
      </c>
      <c r="W25" s="1385">
        <f t="shared" si="16"/>
        <v>8.3999999999999986</v>
      </c>
      <c r="X25" s="1385">
        <f t="shared" si="17"/>
        <v>26.5</v>
      </c>
      <c r="Y25" s="1309">
        <f t="shared" si="18"/>
        <v>7.8000000000000007</v>
      </c>
      <c r="Z25" s="1385">
        <f t="shared" si="19"/>
        <v>28.500000000000004</v>
      </c>
      <c r="AA25" s="1385">
        <f t="shared" ref="AA25:AA34" si="24">N25-M25</f>
        <v>0.39999999999999858</v>
      </c>
      <c r="AB25" s="1385">
        <f t="shared" ref="AB25:AB34" si="25">O25-N25</f>
        <v>26.5</v>
      </c>
      <c r="AC25" s="272"/>
      <c r="AD25" s="944" t="str">
        <f t="shared" si="20"/>
        <v>Resultat före skatt</v>
      </c>
      <c r="AE25" s="944"/>
      <c r="AF25" s="1266">
        <f>Z25</f>
        <v>28.500000000000004</v>
      </c>
      <c r="AG25" s="1267">
        <f>V25</f>
        <v>8.0000000000000036</v>
      </c>
      <c r="AH25" s="1266">
        <f>SUM(Y25:Z25)</f>
        <v>36.300000000000004</v>
      </c>
      <c r="AI25" s="1267">
        <f>SUM(U25:V25)</f>
        <v>28.300000000000004</v>
      </c>
      <c r="AJ25" s="1266">
        <f>SUM(W25:Z25)</f>
        <v>71.2</v>
      </c>
      <c r="AK25" s="1267">
        <f>SUM(U25:X25)</f>
        <v>63.2</v>
      </c>
      <c r="AL25" s="257"/>
      <c r="AM25" s="272"/>
      <c r="AN25" s="944" t="str">
        <f>+[2]rapkvart!A213</f>
        <v>Income before tax</v>
      </c>
      <c r="AO25" s="944"/>
      <c r="AP25" s="1266">
        <f t="shared" si="23"/>
        <v>28.500000000000004</v>
      </c>
      <c r="AQ25" s="1267">
        <f t="shared" si="23"/>
        <v>8.0000000000000036</v>
      </c>
      <c r="AR25" s="1266">
        <f t="shared" si="23"/>
        <v>36.300000000000004</v>
      </c>
      <c r="AS25" s="1267">
        <f t="shared" si="23"/>
        <v>28.300000000000004</v>
      </c>
      <c r="AT25" s="1266">
        <f t="shared" si="23"/>
        <v>71.2</v>
      </c>
      <c r="AU25" s="1267">
        <f t="shared" si="23"/>
        <v>63.2</v>
      </c>
    </row>
    <row r="26" spans="2:47" x14ac:dyDescent="0.15">
      <c r="B26" s="1393"/>
      <c r="C26" s="1393"/>
      <c r="D26" s="1328">
        <f>[2]rapkvart!S214</f>
        <v>0</v>
      </c>
      <c r="E26" s="1328">
        <f>[2]rapkvart!T214</f>
        <v>0</v>
      </c>
      <c r="F26" s="1328">
        <f>[2]rapkvart!U214</f>
        <v>0</v>
      </c>
      <c r="G26" s="1328">
        <f>[2]rapkvart!V214</f>
        <v>0</v>
      </c>
      <c r="H26" s="1328">
        <f>[2]rapkvart!O214</f>
        <v>0</v>
      </c>
      <c r="I26" s="1328">
        <f>[2]rapkvart!P214</f>
        <v>0</v>
      </c>
      <c r="J26" s="1328">
        <f>[2]rapkvart!Q214</f>
        <v>0</v>
      </c>
      <c r="K26" s="1328">
        <f>[2]rapkvart!R214</f>
        <v>0</v>
      </c>
      <c r="L26" s="1328">
        <f>[2]rapkvart!K214</f>
        <v>0</v>
      </c>
      <c r="M26" s="1328">
        <f>[2]rapkvart!L214</f>
        <v>0</v>
      </c>
      <c r="N26" s="1328">
        <f>[2]rapkvart!M214</f>
        <v>0</v>
      </c>
      <c r="O26" s="1328">
        <f>[2]rapkvart!N214</f>
        <v>0</v>
      </c>
      <c r="P26" s="889"/>
      <c r="Q26" s="1310">
        <f t="shared" si="10"/>
        <v>0</v>
      </c>
      <c r="R26" s="1386">
        <f t="shared" si="11"/>
        <v>0</v>
      </c>
      <c r="S26" s="1386">
        <f t="shared" si="12"/>
        <v>0</v>
      </c>
      <c r="T26" s="1386">
        <f t="shared" si="13"/>
        <v>0</v>
      </c>
      <c r="U26" s="1310">
        <f t="shared" si="14"/>
        <v>0</v>
      </c>
      <c r="V26" s="1386">
        <f t="shared" si="15"/>
        <v>0</v>
      </c>
      <c r="W26" s="1386">
        <f t="shared" si="16"/>
        <v>0</v>
      </c>
      <c r="X26" s="1386">
        <f t="shared" si="17"/>
        <v>0</v>
      </c>
      <c r="Y26" s="1310">
        <f t="shared" si="18"/>
        <v>0</v>
      </c>
      <c r="Z26" s="1386">
        <f t="shared" si="19"/>
        <v>0</v>
      </c>
      <c r="AA26" s="1386">
        <f t="shared" si="24"/>
        <v>0</v>
      </c>
      <c r="AB26" s="1386">
        <f t="shared" si="25"/>
        <v>0</v>
      </c>
      <c r="AC26" s="272"/>
      <c r="AD26" s="942"/>
      <c r="AE26" s="942"/>
      <c r="AF26" s="178"/>
      <c r="AG26" s="179"/>
      <c r="AH26" s="178"/>
      <c r="AI26" s="179"/>
      <c r="AJ26" s="178"/>
      <c r="AK26" s="179"/>
      <c r="AL26" s="257"/>
      <c r="AM26" s="272"/>
      <c r="AN26" s="942"/>
      <c r="AO26" s="942"/>
      <c r="AP26" s="178"/>
      <c r="AQ26" s="179"/>
      <c r="AR26" s="178"/>
      <c r="AS26" s="179"/>
      <c r="AT26" s="178"/>
      <c r="AU26" s="179"/>
    </row>
    <row r="27" spans="2:47" ht="9.75" thickBot="1" x14ac:dyDescent="0.2">
      <c r="B27" s="1395" t="str">
        <f>+[2]rapkvart!B215</f>
        <v>Inkomstskatt</v>
      </c>
      <c r="C27" s="1395"/>
      <c r="D27" s="1317">
        <f>[2]rapkvart!S215</f>
        <v>-1.5</v>
      </c>
      <c r="E27" s="1317">
        <f>[2]rapkvart!T215</f>
        <v>-3.1</v>
      </c>
      <c r="F27" s="1317">
        <f>[2]rapkvart!U215</f>
        <v>-4.7</v>
      </c>
      <c r="G27" s="1317">
        <f>[2]rapkvart!V215</f>
        <v>-7.9</v>
      </c>
      <c r="H27" s="1317">
        <f>[2]rapkvart!O215</f>
        <v>-1.7</v>
      </c>
      <c r="I27" s="1317">
        <f>[2]rapkvart!P215</f>
        <v>-3.3</v>
      </c>
      <c r="J27" s="1317">
        <f>[2]rapkvart!Q215</f>
        <v>-5</v>
      </c>
      <c r="K27" s="1317">
        <f>[2]rapkvart!R215</f>
        <v>-16.100000000000001</v>
      </c>
      <c r="L27" s="1317">
        <f>[2]rapkvart!K215</f>
        <v>-1.6</v>
      </c>
      <c r="M27" s="1317">
        <f>[2]rapkvart!L215</f>
        <v>-3.3</v>
      </c>
      <c r="N27" s="1317">
        <f>[2]rapkvart!M215</f>
        <v>-5</v>
      </c>
      <c r="O27" s="1317">
        <f>[2]rapkvart!N215</f>
        <v>-16.100000000000001</v>
      </c>
      <c r="P27" s="889"/>
      <c r="Q27" s="1312">
        <f t="shared" si="10"/>
        <v>-1.5</v>
      </c>
      <c r="R27" s="1388">
        <f t="shared" si="11"/>
        <v>-1.6</v>
      </c>
      <c r="S27" s="1388">
        <f t="shared" si="12"/>
        <v>-1.6</v>
      </c>
      <c r="T27" s="1388">
        <f t="shared" si="13"/>
        <v>-3.2</v>
      </c>
      <c r="U27" s="1312">
        <f t="shared" si="14"/>
        <v>-1.7</v>
      </c>
      <c r="V27" s="1388">
        <f t="shared" si="15"/>
        <v>-1.5999999999999999</v>
      </c>
      <c r="W27" s="1388">
        <f t="shared" si="16"/>
        <v>-1.7000000000000002</v>
      </c>
      <c r="X27" s="1388">
        <f t="shared" si="17"/>
        <v>-11.100000000000001</v>
      </c>
      <c r="Y27" s="1312">
        <f t="shared" si="18"/>
        <v>-1.6</v>
      </c>
      <c r="Z27" s="1388">
        <f t="shared" si="19"/>
        <v>-1.6999999999999997</v>
      </c>
      <c r="AA27" s="1388">
        <f t="shared" si="24"/>
        <v>-1.7000000000000002</v>
      </c>
      <c r="AB27" s="1388">
        <f t="shared" si="25"/>
        <v>-11.100000000000001</v>
      </c>
      <c r="AC27" s="272"/>
      <c r="AD27" s="1717" t="str">
        <f t="shared" si="20"/>
        <v>Inkomstskatt</v>
      </c>
      <c r="AE27" s="1717"/>
      <c r="AF27" s="1718">
        <f>Z27</f>
        <v>-1.6999999999999997</v>
      </c>
      <c r="AG27" s="1719">
        <f>V27</f>
        <v>-1.5999999999999999</v>
      </c>
      <c r="AH27" s="1718">
        <f>SUM(Y27:Z27)</f>
        <v>-3.3</v>
      </c>
      <c r="AI27" s="1719">
        <f>SUM(U27:V27)</f>
        <v>-3.3</v>
      </c>
      <c r="AJ27" s="1718">
        <f>SUM(W27:Z27)</f>
        <v>-16.100000000000001</v>
      </c>
      <c r="AK27" s="1719">
        <f>SUM(U27:X27)</f>
        <v>-16.100000000000001</v>
      </c>
      <c r="AL27" s="257"/>
      <c r="AM27" s="272"/>
      <c r="AN27" s="1717" t="str">
        <f>+[2]rapkvart!A215</f>
        <v>Income tax</v>
      </c>
      <c r="AO27" s="1717"/>
      <c r="AP27" s="1718">
        <f t="shared" ref="AP27:AU28" si="26">AF27</f>
        <v>-1.6999999999999997</v>
      </c>
      <c r="AQ27" s="1719">
        <f t="shared" si="26"/>
        <v>-1.5999999999999999</v>
      </c>
      <c r="AR27" s="1718">
        <f t="shared" si="26"/>
        <v>-3.3</v>
      </c>
      <c r="AS27" s="1719">
        <f t="shared" si="26"/>
        <v>-3.3</v>
      </c>
      <c r="AT27" s="1718">
        <f t="shared" si="26"/>
        <v>-16.100000000000001</v>
      </c>
      <c r="AU27" s="1719">
        <f t="shared" si="26"/>
        <v>-16.100000000000001</v>
      </c>
    </row>
    <row r="28" spans="2:47" x14ac:dyDescent="0.15">
      <c r="B28" s="1392" t="str">
        <f>+[2]rapkvart!B216</f>
        <v>Periodens resultat</v>
      </c>
      <c r="C28" s="1392"/>
      <c r="D28" s="1327">
        <f>[2]rapkvart!S216</f>
        <v>6</v>
      </c>
      <c r="E28" s="1327">
        <f>[2]rapkvart!T216</f>
        <v>11.800000000000004</v>
      </c>
      <c r="F28" s="1327">
        <f>[2]rapkvart!U216</f>
        <v>34.5</v>
      </c>
      <c r="G28" s="1327">
        <f>[2]rapkvart!V216</f>
        <v>108.39999999999999</v>
      </c>
      <c r="H28" s="1327">
        <f>[2]rapkvart!O216</f>
        <v>18.600000000000001</v>
      </c>
      <c r="I28" s="1327">
        <f>[2]rapkvart!P216</f>
        <v>25.000000000000004</v>
      </c>
      <c r="J28" s="1327">
        <f>[2]rapkvart!Q216</f>
        <v>31.700000000000003</v>
      </c>
      <c r="K28" s="1327">
        <f>[2]rapkvart!R216</f>
        <v>47.1</v>
      </c>
      <c r="L28" s="1327">
        <f>[2]rapkvart!K216</f>
        <v>6.2000000000000011</v>
      </c>
      <c r="M28" s="1327">
        <f>[2]rapkvart!L216</f>
        <v>33.000000000000007</v>
      </c>
      <c r="N28" s="1327">
        <f>[2]rapkvart!M216</f>
        <v>31.700000000000003</v>
      </c>
      <c r="O28" s="1327">
        <f>[2]rapkvart!N216</f>
        <v>47.1</v>
      </c>
      <c r="P28" s="889"/>
      <c r="Q28" s="1309">
        <f t="shared" si="10"/>
        <v>6</v>
      </c>
      <c r="R28" s="1385">
        <f t="shared" si="11"/>
        <v>5.8000000000000043</v>
      </c>
      <c r="S28" s="1385">
        <f t="shared" si="12"/>
        <v>22.699999999999996</v>
      </c>
      <c r="T28" s="1385">
        <f t="shared" si="13"/>
        <v>73.899999999999991</v>
      </c>
      <c r="U28" s="1309">
        <f t="shared" si="14"/>
        <v>18.600000000000001</v>
      </c>
      <c r="V28" s="1385">
        <f t="shared" si="15"/>
        <v>6.4000000000000021</v>
      </c>
      <c r="W28" s="1385">
        <f t="shared" si="16"/>
        <v>6.6999999999999993</v>
      </c>
      <c r="X28" s="1385">
        <f t="shared" si="17"/>
        <v>15.399999999999999</v>
      </c>
      <c r="Y28" s="1309">
        <f t="shared" si="18"/>
        <v>6.2000000000000011</v>
      </c>
      <c r="Z28" s="1385">
        <f t="shared" si="19"/>
        <v>26.800000000000004</v>
      </c>
      <c r="AA28" s="1385">
        <f t="shared" si="24"/>
        <v>-1.3000000000000043</v>
      </c>
      <c r="AB28" s="1385">
        <f t="shared" si="25"/>
        <v>15.399999999999999</v>
      </c>
      <c r="AC28" s="272"/>
      <c r="AD28" s="944" t="str">
        <f t="shared" si="20"/>
        <v>Periodens resultat</v>
      </c>
      <c r="AE28" s="944"/>
      <c r="AF28" s="1266">
        <f>Z28</f>
        <v>26.800000000000004</v>
      </c>
      <c r="AG28" s="1267">
        <f>V28</f>
        <v>6.4000000000000021</v>
      </c>
      <c r="AH28" s="1266">
        <f>SUM(Y28:Z28)</f>
        <v>33.000000000000007</v>
      </c>
      <c r="AI28" s="1267">
        <f>SUM(U28:V28)</f>
        <v>25.000000000000004</v>
      </c>
      <c r="AJ28" s="1266">
        <f>SUM(W28:Z28)</f>
        <v>55.1</v>
      </c>
      <c r="AK28" s="1267">
        <f>SUM(U28:X28)</f>
        <v>47.1</v>
      </c>
      <c r="AL28" s="257"/>
      <c r="AM28" s="272"/>
      <c r="AN28" s="944" t="str">
        <f>+[2]rapkvart!A216</f>
        <v>Net income for the period</v>
      </c>
      <c r="AO28" s="944"/>
      <c r="AP28" s="1266">
        <f t="shared" si="26"/>
        <v>26.800000000000004</v>
      </c>
      <c r="AQ28" s="1267">
        <f t="shared" si="26"/>
        <v>6.4000000000000021</v>
      </c>
      <c r="AR28" s="1266">
        <f t="shared" si="26"/>
        <v>33.000000000000007</v>
      </c>
      <c r="AS28" s="1267">
        <f t="shared" si="26"/>
        <v>25.000000000000004</v>
      </c>
      <c r="AT28" s="1266">
        <f t="shared" si="26"/>
        <v>55.1</v>
      </c>
      <c r="AU28" s="1267">
        <f t="shared" si="26"/>
        <v>47.1</v>
      </c>
    </row>
    <row r="29" spans="2:47" x14ac:dyDescent="0.15">
      <c r="B29" s="1392"/>
      <c r="C29" s="1392"/>
      <c r="D29" s="1327">
        <f>[2]rapkvart!S217</f>
        <v>0</v>
      </c>
      <c r="E29" s="1327">
        <f>[2]rapkvart!T217</f>
        <v>0</v>
      </c>
      <c r="F29" s="1327">
        <f>[2]rapkvart!U217</f>
        <v>0</v>
      </c>
      <c r="G29" s="1327">
        <f>[2]rapkvart!V217</f>
        <v>0</v>
      </c>
      <c r="H29" s="1327">
        <f>[2]rapkvart!O217</f>
        <v>0</v>
      </c>
      <c r="I29" s="1327">
        <f>[2]rapkvart!P217</f>
        <v>0</v>
      </c>
      <c r="J29" s="1327">
        <f>[2]rapkvart!Q217</f>
        <v>0</v>
      </c>
      <c r="K29" s="1327">
        <f>[2]rapkvart!R217</f>
        <v>0</v>
      </c>
      <c r="L29" s="1327">
        <f>[2]rapkvart!K217</f>
        <v>0</v>
      </c>
      <c r="M29" s="1327">
        <f>[2]rapkvart!L217</f>
        <v>0</v>
      </c>
      <c r="N29" s="1327">
        <f>[2]rapkvart!M217</f>
        <v>0</v>
      </c>
      <c r="O29" s="1327">
        <f>[2]rapkvart!N217</f>
        <v>0</v>
      </c>
      <c r="P29" s="889"/>
      <c r="Q29" s="1309">
        <f t="shared" si="10"/>
        <v>0</v>
      </c>
      <c r="R29" s="1385">
        <f t="shared" si="11"/>
        <v>0</v>
      </c>
      <c r="S29" s="1385">
        <f t="shared" si="12"/>
        <v>0</v>
      </c>
      <c r="T29" s="1385">
        <f t="shared" si="13"/>
        <v>0</v>
      </c>
      <c r="U29" s="1309">
        <f t="shared" si="14"/>
        <v>0</v>
      </c>
      <c r="V29" s="1385">
        <f t="shared" si="15"/>
        <v>0</v>
      </c>
      <c r="W29" s="1385">
        <f t="shared" si="16"/>
        <v>0</v>
      </c>
      <c r="X29" s="1385">
        <f t="shared" si="17"/>
        <v>0</v>
      </c>
      <c r="Y29" s="1309">
        <f t="shared" si="18"/>
        <v>0</v>
      </c>
      <c r="Z29" s="1385">
        <f t="shared" si="19"/>
        <v>0</v>
      </c>
      <c r="AA29" s="1385">
        <f t="shared" si="24"/>
        <v>0</v>
      </c>
      <c r="AB29" s="1385">
        <f t="shared" si="25"/>
        <v>0</v>
      </c>
      <c r="AC29" s="272"/>
      <c r="AD29" s="943"/>
      <c r="AE29" s="943"/>
      <c r="AF29" s="1268"/>
      <c r="AG29" s="1269"/>
      <c r="AH29" s="1268"/>
      <c r="AI29" s="1269"/>
      <c r="AJ29" s="1268"/>
      <c r="AK29" s="1269"/>
      <c r="AL29" s="257"/>
      <c r="AM29" s="272"/>
      <c r="AN29" s="943"/>
      <c r="AO29" s="943"/>
      <c r="AP29" s="1268"/>
      <c r="AQ29" s="1269"/>
      <c r="AR29" s="1268"/>
      <c r="AS29" s="1269"/>
      <c r="AT29" s="1268"/>
      <c r="AU29" s="1269"/>
    </row>
    <row r="30" spans="2:47" x14ac:dyDescent="0.15">
      <c r="B30" s="1392" t="str">
        <f>+[2]rapkvart!B218</f>
        <v>Rapport över moderbolagets totalresultat</v>
      </c>
      <c r="C30" s="1392"/>
      <c r="D30" s="1327">
        <f>[2]rapkvart!S218</f>
        <v>0</v>
      </c>
      <c r="E30" s="1327">
        <f>[2]rapkvart!T218</f>
        <v>0</v>
      </c>
      <c r="F30" s="1327">
        <f>[2]rapkvart!U218</f>
        <v>0</v>
      </c>
      <c r="G30" s="1327">
        <f>[2]rapkvart!V218</f>
        <v>0</v>
      </c>
      <c r="H30" s="1327">
        <f>[2]rapkvart!O218</f>
        <v>0</v>
      </c>
      <c r="I30" s="1327">
        <f>[2]rapkvart!P218</f>
        <v>0</v>
      </c>
      <c r="J30" s="1327">
        <f>[2]rapkvart!Q218</f>
        <v>0</v>
      </c>
      <c r="K30" s="1327">
        <f>[2]rapkvart!R218</f>
        <v>0</v>
      </c>
      <c r="L30" s="1327">
        <f>[2]rapkvart!K218</f>
        <v>0</v>
      </c>
      <c r="M30" s="1327">
        <f>[2]rapkvart!L218</f>
        <v>0</v>
      </c>
      <c r="N30" s="1327">
        <f>[2]rapkvart!M218</f>
        <v>0</v>
      </c>
      <c r="O30" s="1327">
        <f>[2]rapkvart!N218</f>
        <v>0</v>
      </c>
      <c r="P30" s="889"/>
      <c r="Q30" s="1309">
        <f t="shared" si="10"/>
        <v>0</v>
      </c>
      <c r="R30" s="1385">
        <f t="shared" si="11"/>
        <v>0</v>
      </c>
      <c r="S30" s="1385">
        <f t="shared" si="12"/>
        <v>0</v>
      </c>
      <c r="T30" s="1385">
        <f t="shared" si="13"/>
        <v>0</v>
      </c>
      <c r="U30" s="1309">
        <f t="shared" si="14"/>
        <v>0</v>
      </c>
      <c r="V30" s="1385">
        <f t="shared" si="15"/>
        <v>0</v>
      </c>
      <c r="W30" s="1385">
        <f t="shared" si="16"/>
        <v>0</v>
      </c>
      <c r="X30" s="1385">
        <f t="shared" si="17"/>
        <v>0</v>
      </c>
      <c r="Y30" s="1309">
        <f t="shared" si="18"/>
        <v>0</v>
      </c>
      <c r="Z30" s="1385">
        <f t="shared" si="19"/>
        <v>0</v>
      </c>
      <c r="AA30" s="1385">
        <f t="shared" si="24"/>
        <v>0</v>
      </c>
      <c r="AB30" s="1385">
        <f t="shared" si="25"/>
        <v>0</v>
      </c>
      <c r="AC30" s="272"/>
      <c r="AD30" s="943" t="str">
        <f t="shared" si="20"/>
        <v>Rapport över moderbolagets totalresultat</v>
      </c>
      <c r="AE30" s="943"/>
      <c r="AF30" s="1268"/>
      <c r="AG30" s="1269"/>
      <c r="AH30" s="1268"/>
      <c r="AI30" s="1269"/>
      <c r="AJ30" s="1268"/>
      <c r="AK30" s="1269"/>
      <c r="AL30" s="257"/>
      <c r="AM30" s="272"/>
      <c r="AN30" s="943" t="str">
        <f>+[2]rapkvart!A218</f>
        <v>Parent company statement of comprehensive income</v>
      </c>
      <c r="AO30" s="943"/>
      <c r="AP30" s="1268"/>
      <c r="AQ30" s="1269"/>
      <c r="AR30" s="1268"/>
      <c r="AS30" s="1269"/>
      <c r="AT30" s="1268"/>
      <c r="AU30" s="1269"/>
    </row>
    <row r="31" spans="2:47" x14ac:dyDescent="0.15">
      <c r="B31" s="1390" t="str">
        <f>+[2]rapkvart!B219</f>
        <v>Periodens resultat</v>
      </c>
      <c r="C31" s="1390"/>
      <c r="D31" s="1316">
        <f>[2]rapkvart!S219</f>
        <v>0</v>
      </c>
      <c r="E31" s="1316">
        <f>[2]rapkvart!T219</f>
        <v>0</v>
      </c>
      <c r="F31" s="1316">
        <f>[2]rapkvart!U219</f>
        <v>0</v>
      </c>
      <c r="G31" s="1316">
        <f>[2]rapkvart!V219</f>
        <v>0</v>
      </c>
      <c r="H31" s="1316">
        <f>[2]rapkvart!O219</f>
        <v>0</v>
      </c>
      <c r="I31" s="1316">
        <f>[2]rapkvart!P219</f>
        <v>0</v>
      </c>
      <c r="J31" s="1316">
        <f>[2]rapkvart!Q219</f>
        <v>0</v>
      </c>
      <c r="K31" s="1316">
        <f>[2]rapkvart!R219</f>
        <v>0</v>
      </c>
      <c r="L31" s="1316">
        <f>[2]rapkvart!K219</f>
        <v>0</v>
      </c>
      <c r="M31" s="1316">
        <f>[2]rapkvart!L219</f>
        <v>0</v>
      </c>
      <c r="N31" s="1316">
        <f>[2]rapkvart!M219</f>
        <v>0</v>
      </c>
      <c r="O31" s="1316">
        <f>[2]rapkvart!N219</f>
        <v>0</v>
      </c>
      <c r="P31" s="889"/>
      <c r="Q31" s="1307">
        <f t="shared" si="10"/>
        <v>0</v>
      </c>
      <c r="R31" s="1383">
        <f t="shared" si="11"/>
        <v>0</v>
      </c>
      <c r="S31" s="1383">
        <f t="shared" si="12"/>
        <v>0</v>
      </c>
      <c r="T31" s="1383">
        <f t="shared" si="13"/>
        <v>0</v>
      </c>
      <c r="U31" s="1307">
        <f t="shared" si="14"/>
        <v>0</v>
      </c>
      <c r="V31" s="1383">
        <f t="shared" si="15"/>
        <v>0</v>
      </c>
      <c r="W31" s="1383">
        <f t="shared" si="16"/>
        <v>0</v>
      </c>
      <c r="X31" s="1383">
        <f t="shared" si="17"/>
        <v>0</v>
      </c>
      <c r="Y31" s="1307">
        <f t="shared" si="18"/>
        <v>0</v>
      </c>
      <c r="Z31" s="1383">
        <f t="shared" si="19"/>
        <v>0</v>
      </c>
      <c r="AA31" s="1383">
        <f t="shared" si="24"/>
        <v>0</v>
      </c>
      <c r="AB31" s="1383">
        <f t="shared" si="25"/>
        <v>0</v>
      </c>
      <c r="AC31" s="272"/>
      <c r="AD31" s="942" t="str">
        <f t="shared" si="20"/>
        <v>Periodens resultat</v>
      </c>
      <c r="AE31" s="942"/>
      <c r="AF31" s="178">
        <f t="shared" ref="AF31:AK31" si="27">AF28</f>
        <v>26.800000000000004</v>
      </c>
      <c r="AG31" s="179">
        <f t="shared" si="27"/>
        <v>6.4000000000000021</v>
      </c>
      <c r="AH31" s="178">
        <f t="shared" si="27"/>
        <v>33.000000000000007</v>
      </c>
      <c r="AI31" s="179">
        <f t="shared" si="27"/>
        <v>25.000000000000004</v>
      </c>
      <c r="AJ31" s="178">
        <f t="shared" si="27"/>
        <v>55.1</v>
      </c>
      <c r="AK31" s="179">
        <f t="shared" si="27"/>
        <v>47.1</v>
      </c>
      <c r="AL31" s="578" t="s">
        <v>546</v>
      </c>
      <c r="AM31" s="272"/>
      <c r="AN31" s="942" t="str">
        <f>+[2]rapkvart!A219</f>
        <v>Net income for the period</v>
      </c>
      <c r="AO31" s="942"/>
      <c r="AP31" s="2268">
        <f t="shared" ref="AP31:AU34" si="28">AF31</f>
        <v>26.800000000000004</v>
      </c>
      <c r="AQ31" s="179">
        <f t="shared" si="28"/>
        <v>6.4000000000000021</v>
      </c>
      <c r="AR31" s="2268">
        <f t="shared" si="28"/>
        <v>33.000000000000007</v>
      </c>
      <c r="AS31" s="179">
        <f t="shared" si="28"/>
        <v>25.000000000000004</v>
      </c>
      <c r="AT31" s="2268">
        <f t="shared" si="28"/>
        <v>55.1</v>
      </c>
      <c r="AU31" s="179">
        <f t="shared" si="28"/>
        <v>47.1</v>
      </c>
    </row>
    <row r="32" spans="2:47" x14ac:dyDescent="0.15">
      <c r="B32" s="1390" t="str">
        <f>+[2]rapkvart!B220</f>
        <v>Poster som kommer att omklassificeras till nettoresultatet</v>
      </c>
      <c r="C32" s="1390"/>
      <c r="D32" s="1316">
        <f>[2]rapkvart!S220</f>
        <v>0</v>
      </c>
      <c r="E32" s="1316">
        <f>[2]rapkvart!T220</f>
        <v>0</v>
      </c>
      <c r="F32" s="1316">
        <f>[2]rapkvart!U220</f>
        <v>0</v>
      </c>
      <c r="G32" s="1316">
        <f>[2]rapkvart!V220</f>
        <v>0</v>
      </c>
      <c r="H32" s="1316">
        <f>[2]rapkvart!O220</f>
        <v>0</v>
      </c>
      <c r="I32" s="1316">
        <f>[2]rapkvart!P220</f>
        <v>0</v>
      </c>
      <c r="J32" s="1316">
        <f>[2]rapkvart!Q220</f>
        <v>0</v>
      </c>
      <c r="K32" s="1316">
        <f>[2]rapkvart!R220</f>
        <v>0</v>
      </c>
      <c r="L32" s="1316">
        <f>[2]rapkvart!K220</f>
        <v>0</v>
      </c>
      <c r="M32" s="1316">
        <f>[2]rapkvart!L220</f>
        <v>0</v>
      </c>
      <c r="N32" s="1316">
        <f>[2]rapkvart!M220</f>
        <v>0</v>
      </c>
      <c r="O32" s="1316">
        <f>[2]rapkvart!N220</f>
        <v>0</v>
      </c>
      <c r="P32" s="889"/>
      <c r="Q32" s="1307">
        <f t="shared" si="10"/>
        <v>0</v>
      </c>
      <c r="R32" s="1383">
        <f t="shared" si="11"/>
        <v>0</v>
      </c>
      <c r="S32" s="1383">
        <f t="shared" si="12"/>
        <v>0</v>
      </c>
      <c r="T32" s="1383">
        <f t="shared" si="13"/>
        <v>0</v>
      </c>
      <c r="U32" s="1307">
        <f t="shared" si="14"/>
        <v>0</v>
      </c>
      <c r="V32" s="1383">
        <f t="shared" si="15"/>
        <v>0</v>
      </c>
      <c r="W32" s="1383">
        <f t="shared" si="16"/>
        <v>0</v>
      </c>
      <c r="X32" s="1383">
        <f t="shared" si="17"/>
        <v>0</v>
      </c>
      <c r="Y32" s="1307">
        <f t="shared" si="18"/>
        <v>0</v>
      </c>
      <c r="Z32" s="1383">
        <f t="shared" si="19"/>
        <v>0</v>
      </c>
      <c r="AA32" s="1383">
        <f t="shared" si="24"/>
        <v>0</v>
      </c>
      <c r="AB32" s="1383">
        <f t="shared" si="25"/>
        <v>0</v>
      </c>
      <c r="AC32" s="272"/>
      <c r="AD32" s="942" t="str">
        <f t="shared" si="20"/>
        <v>Poster som kommer att omklassificeras till nettoresultatet</v>
      </c>
      <c r="AE32" s="942"/>
      <c r="AF32" s="1270">
        <f>Z32</f>
        <v>0</v>
      </c>
      <c r="AG32" s="179">
        <f>V32</f>
        <v>0</v>
      </c>
      <c r="AH32" s="1270">
        <f>SUM(Y32:Z32)</f>
        <v>0</v>
      </c>
      <c r="AI32" s="179">
        <f>SUM(U32:V32)</f>
        <v>0</v>
      </c>
      <c r="AJ32" s="1270">
        <f>SUM(W32:Z32)</f>
        <v>0</v>
      </c>
      <c r="AK32" s="179">
        <f>SUM(U32:X32)</f>
        <v>0</v>
      </c>
      <c r="AL32" s="451"/>
      <c r="AM32" s="272"/>
      <c r="AN32" s="942" t="str">
        <f>+[2]rapkvart!A220</f>
        <v>Items that will subsequently be reclassified to net income:</v>
      </c>
      <c r="AO32" s="942"/>
      <c r="AP32" s="1270">
        <f t="shared" si="28"/>
        <v>0</v>
      </c>
      <c r="AQ32" s="179">
        <f t="shared" si="28"/>
        <v>0</v>
      </c>
      <c r="AR32" s="1270">
        <f t="shared" si="28"/>
        <v>0</v>
      </c>
      <c r="AS32" s="179">
        <f t="shared" si="28"/>
        <v>0</v>
      </c>
      <c r="AT32" s="1270">
        <f t="shared" si="28"/>
        <v>0</v>
      </c>
      <c r="AU32" s="179">
        <f t="shared" si="28"/>
        <v>0</v>
      </c>
    </row>
    <row r="33" spans="2:47" x14ac:dyDescent="0.15">
      <c r="B33" s="1393" t="str">
        <f>+[2]rapkvart!B221</f>
        <v>Poster som inte kommer att omklassificeras till nettoresultatet</v>
      </c>
      <c r="C33" s="1393"/>
      <c r="D33" s="1328">
        <f>[2]rapkvart!S221</f>
        <v>0</v>
      </c>
      <c r="E33" s="1328">
        <f>[2]rapkvart!T221</f>
        <v>0</v>
      </c>
      <c r="F33" s="1328">
        <f>[2]rapkvart!U221</f>
        <v>0</v>
      </c>
      <c r="G33" s="1328">
        <f>[2]rapkvart!V221</f>
        <v>0</v>
      </c>
      <c r="H33" s="1328">
        <f>[2]rapkvart!O221</f>
        <v>0</v>
      </c>
      <c r="I33" s="1328">
        <f>[2]rapkvart!P221</f>
        <v>0</v>
      </c>
      <c r="J33" s="1328">
        <f>[2]rapkvart!Q221</f>
        <v>0</v>
      </c>
      <c r="K33" s="1328">
        <f>[2]rapkvart!R221</f>
        <v>0</v>
      </c>
      <c r="L33" s="1328">
        <f>[2]rapkvart!K221</f>
        <v>0</v>
      </c>
      <c r="M33" s="1328">
        <f>[2]rapkvart!L221</f>
        <v>0</v>
      </c>
      <c r="N33" s="1328">
        <f>[2]rapkvart!M221</f>
        <v>0</v>
      </c>
      <c r="O33" s="1328">
        <f>[2]rapkvart!N221</f>
        <v>0</v>
      </c>
      <c r="P33" s="889"/>
      <c r="Q33" s="1310">
        <f t="shared" si="10"/>
        <v>0</v>
      </c>
      <c r="R33" s="1386">
        <f t="shared" si="11"/>
        <v>0</v>
      </c>
      <c r="S33" s="1386">
        <f t="shared" si="12"/>
        <v>0</v>
      </c>
      <c r="T33" s="1386">
        <f t="shared" si="13"/>
        <v>0</v>
      </c>
      <c r="U33" s="1310">
        <f t="shared" si="14"/>
        <v>0</v>
      </c>
      <c r="V33" s="1386">
        <f t="shared" si="15"/>
        <v>0</v>
      </c>
      <c r="W33" s="1386">
        <f t="shared" si="16"/>
        <v>0</v>
      </c>
      <c r="X33" s="1386">
        <f t="shared" si="17"/>
        <v>0</v>
      </c>
      <c r="Y33" s="1310">
        <f t="shared" si="18"/>
        <v>0</v>
      </c>
      <c r="Z33" s="1386">
        <f t="shared" si="19"/>
        <v>0</v>
      </c>
      <c r="AA33" s="1386">
        <f t="shared" si="24"/>
        <v>0</v>
      </c>
      <c r="AB33" s="1386">
        <f t="shared" si="25"/>
        <v>0</v>
      </c>
      <c r="AC33" s="272"/>
      <c r="AD33" s="1717" t="str">
        <f t="shared" si="20"/>
        <v>Poster som inte kommer att omklassificeras till nettoresultatet</v>
      </c>
      <c r="AE33" s="1717"/>
      <c r="AF33" s="1718">
        <f>Z33</f>
        <v>0</v>
      </c>
      <c r="AG33" s="1719">
        <f>V33</f>
        <v>0</v>
      </c>
      <c r="AH33" s="1718">
        <f>SUM(Y33:Z33)</f>
        <v>0</v>
      </c>
      <c r="AI33" s="1719">
        <f>SUM(U33:V33)</f>
        <v>0</v>
      </c>
      <c r="AJ33" s="1718">
        <f>SUM(W33:Z33)</f>
        <v>0</v>
      </c>
      <c r="AK33" s="1719">
        <f>SUM(U33:X33)</f>
        <v>0</v>
      </c>
      <c r="AL33" s="451"/>
      <c r="AM33" s="272"/>
      <c r="AN33" s="1717" t="str">
        <f>+[2]rapkvart!A221</f>
        <v>Items that will subsequently not be reclassified to net income</v>
      </c>
      <c r="AO33" s="1717"/>
      <c r="AP33" s="1718">
        <f t="shared" si="28"/>
        <v>0</v>
      </c>
      <c r="AQ33" s="1719">
        <f t="shared" si="28"/>
        <v>0</v>
      </c>
      <c r="AR33" s="1718">
        <f t="shared" si="28"/>
        <v>0</v>
      </c>
      <c r="AS33" s="1719">
        <f t="shared" si="28"/>
        <v>0</v>
      </c>
      <c r="AT33" s="1718">
        <f t="shared" si="28"/>
        <v>0</v>
      </c>
      <c r="AU33" s="1719">
        <f t="shared" si="28"/>
        <v>0</v>
      </c>
    </row>
    <row r="34" spans="2:47" x14ac:dyDescent="0.15">
      <c r="B34" s="1394" t="str">
        <f>+[2]rapkvart!B222</f>
        <v>Periodens totalresultat</v>
      </c>
      <c r="C34" s="1394"/>
      <c r="D34" s="1389">
        <f>[2]rapkvart!S222</f>
        <v>0</v>
      </c>
      <c r="E34" s="1389">
        <f>[2]rapkvart!T222</f>
        <v>0</v>
      </c>
      <c r="F34" s="1389">
        <f>[2]rapkvart!U222</f>
        <v>0</v>
      </c>
      <c r="G34" s="1389">
        <f>[2]rapkvart!V222</f>
        <v>0</v>
      </c>
      <c r="H34" s="1389">
        <f>[2]rapkvart!O222</f>
        <v>0</v>
      </c>
      <c r="I34" s="1389">
        <f>[2]rapkvart!P222</f>
        <v>0</v>
      </c>
      <c r="J34" s="1389">
        <f>[2]rapkvart!Q222</f>
        <v>0</v>
      </c>
      <c r="K34" s="1389">
        <f>[2]rapkvart!R222</f>
        <v>0</v>
      </c>
      <c r="L34" s="1389">
        <f>[2]rapkvart!K222</f>
        <v>0</v>
      </c>
      <c r="M34" s="1389">
        <f>[2]rapkvart!L222</f>
        <v>0</v>
      </c>
      <c r="N34" s="1389">
        <f>[2]rapkvart!M222</f>
        <v>0</v>
      </c>
      <c r="O34" s="1389">
        <f>[2]rapkvart!N222</f>
        <v>0</v>
      </c>
      <c r="P34" s="889"/>
      <c r="Q34" s="1311">
        <f t="shared" si="10"/>
        <v>0</v>
      </c>
      <c r="R34" s="1387">
        <f t="shared" si="11"/>
        <v>0</v>
      </c>
      <c r="S34" s="1387">
        <f t="shared" si="12"/>
        <v>0</v>
      </c>
      <c r="T34" s="1387">
        <f t="shared" si="13"/>
        <v>0</v>
      </c>
      <c r="U34" s="1311">
        <f t="shared" si="14"/>
        <v>0</v>
      </c>
      <c r="V34" s="1387">
        <f t="shared" si="15"/>
        <v>0</v>
      </c>
      <c r="W34" s="1387">
        <f t="shared" si="16"/>
        <v>0</v>
      </c>
      <c r="X34" s="1387">
        <f t="shared" si="17"/>
        <v>0</v>
      </c>
      <c r="Y34" s="1311">
        <f t="shared" si="18"/>
        <v>0</v>
      </c>
      <c r="Z34" s="1387">
        <f t="shared" si="19"/>
        <v>0</v>
      </c>
      <c r="AA34" s="1387">
        <f t="shared" si="24"/>
        <v>0</v>
      </c>
      <c r="AB34" s="1387">
        <f t="shared" si="25"/>
        <v>0</v>
      </c>
      <c r="AC34" s="272"/>
      <c r="AD34" s="944" t="str">
        <f t="shared" si="20"/>
        <v>Periodens totalresultat</v>
      </c>
      <c r="AE34" s="944"/>
      <c r="AF34" s="1266">
        <f t="shared" ref="AF34:AK34" si="29">SUM(AF31:AF33)</f>
        <v>26.800000000000004</v>
      </c>
      <c r="AG34" s="1267">
        <f t="shared" si="29"/>
        <v>6.4000000000000021</v>
      </c>
      <c r="AH34" s="1266">
        <f t="shared" si="29"/>
        <v>33.000000000000007</v>
      </c>
      <c r="AI34" s="1267">
        <f t="shared" si="29"/>
        <v>25.000000000000004</v>
      </c>
      <c r="AJ34" s="1266">
        <f t="shared" si="29"/>
        <v>55.1</v>
      </c>
      <c r="AK34" s="1267">
        <f t="shared" si="29"/>
        <v>47.1</v>
      </c>
      <c r="AL34" s="578" t="s">
        <v>546</v>
      </c>
      <c r="AM34" s="272"/>
      <c r="AN34" s="944" t="str">
        <f>+[2]rapkvart!A222</f>
        <v>Comprehensive income for the period</v>
      </c>
      <c r="AO34" s="944"/>
      <c r="AP34" s="1266">
        <f t="shared" si="28"/>
        <v>26.800000000000004</v>
      </c>
      <c r="AQ34" s="1267">
        <f t="shared" si="28"/>
        <v>6.4000000000000021</v>
      </c>
      <c r="AR34" s="1266">
        <f t="shared" si="28"/>
        <v>33.000000000000007</v>
      </c>
      <c r="AS34" s="1267">
        <f t="shared" si="28"/>
        <v>25.000000000000004</v>
      </c>
      <c r="AT34" s="1266">
        <f t="shared" si="28"/>
        <v>55.1</v>
      </c>
      <c r="AU34" s="1267">
        <f t="shared" si="28"/>
        <v>47.1</v>
      </c>
    </row>
    <row r="35" spans="2:47" x14ac:dyDescent="0.15">
      <c r="B35" s="257"/>
      <c r="C35" s="257"/>
    </row>
    <row r="36" spans="2:47" x14ac:dyDescent="0.15">
      <c r="B36" s="1939" t="s">
        <v>181</v>
      </c>
      <c r="C36" s="1939"/>
      <c r="D36" s="1939">
        <f t="shared" ref="D36:O36" si="30">D31-D28</f>
        <v>-6</v>
      </c>
      <c r="E36" s="1939">
        <f t="shared" si="30"/>
        <v>-11.800000000000004</v>
      </c>
      <c r="F36" s="1939">
        <f t="shared" si="30"/>
        <v>-34.5</v>
      </c>
      <c r="G36" s="1939">
        <f t="shared" si="30"/>
        <v>-108.39999999999999</v>
      </c>
      <c r="H36" s="1939">
        <f t="shared" si="30"/>
        <v>-18.600000000000001</v>
      </c>
      <c r="I36" s="1939">
        <f t="shared" si="30"/>
        <v>-25.000000000000004</v>
      </c>
      <c r="J36" s="1939">
        <f t="shared" si="30"/>
        <v>-31.700000000000003</v>
      </c>
      <c r="K36" s="1939">
        <f t="shared" si="30"/>
        <v>-47.1</v>
      </c>
      <c r="L36" s="1939">
        <f t="shared" si="30"/>
        <v>-6.2000000000000011</v>
      </c>
      <c r="M36" s="1939">
        <f t="shared" si="30"/>
        <v>-33.000000000000007</v>
      </c>
      <c r="N36" s="1939">
        <f t="shared" si="30"/>
        <v>-31.700000000000003</v>
      </c>
      <c r="O36" s="1939">
        <f t="shared" si="30"/>
        <v>-47.1</v>
      </c>
      <c r="Q36" s="1939">
        <f t="shared" ref="Q36:AB36" si="31">Q31-Q28</f>
        <v>-6</v>
      </c>
      <c r="R36" s="1939">
        <f t="shared" si="31"/>
        <v>-5.8000000000000043</v>
      </c>
      <c r="S36" s="1939">
        <f t="shared" si="31"/>
        <v>-22.699999999999996</v>
      </c>
      <c r="T36" s="1939">
        <f t="shared" si="31"/>
        <v>-73.899999999999991</v>
      </c>
      <c r="U36" s="1939">
        <f t="shared" si="31"/>
        <v>-18.600000000000001</v>
      </c>
      <c r="V36" s="1939">
        <f t="shared" si="31"/>
        <v>-6.4000000000000021</v>
      </c>
      <c r="W36" s="1939">
        <f t="shared" si="31"/>
        <v>-6.6999999999999993</v>
      </c>
      <c r="X36" s="1939">
        <f t="shared" si="31"/>
        <v>-15.399999999999999</v>
      </c>
      <c r="Y36" s="1939">
        <f t="shared" si="31"/>
        <v>-6.2000000000000011</v>
      </c>
      <c r="Z36" s="1939">
        <f t="shared" si="31"/>
        <v>-26.800000000000004</v>
      </c>
      <c r="AA36" s="1939">
        <f t="shared" si="31"/>
        <v>1.3000000000000043</v>
      </c>
      <c r="AB36" s="1939">
        <f t="shared" si="31"/>
        <v>-15.399999999999999</v>
      </c>
      <c r="AD36" s="1939" t="s">
        <v>181</v>
      </c>
      <c r="AE36" s="1939"/>
      <c r="AF36" s="1938">
        <f t="shared" ref="AF36:AK36" si="32">AF31-AF28</f>
        <v>0</v>
      </c>
      <c r="AG36" s="1938">
        <f t="shared" si="32"/>
        <v>0</v>
      </c>
      <c r="AH36" s="1938">
        <f t="shared" si="32"/>
        <v>0</v>
      </c>
      <c r="AI36" s="1938">
        <f t="shared" si="32"/>
        <v>0</v>
      </c>
      <c r="AJ36" s="1938">
        <f t="shared" si="32"/>
        <v>0</v>
      </c>
      <c r="AK36" s="1938">
        <f t="shared" si="32"/>
        <v>0</v>
      </c>
      <c r="AN36" s="1939" t="s">
        <v>181</v>
      </c>
      <c r="AO36" s="1939"/>
      <c r="AP36" s="1939">
        <f t="shared" ref="AP36:AU36" si="33">AP31-AP28</f>
        <v>0</v>
      </c>
      <c r="AQ36" s="1939">
        <f t="shared" si="33"/>
        <v>0</v>
      </c>
      <c r="AR36" s="1939">
        <f t="shared" si="33"/>
        <v>0</v>
      </c>
      <c r="AS36" s="1939">
        <f t="shared" si="33"/>
        <v>0</v>
      </c>
      <c r="AT36" s="1939">
        <f t="shared" si="33"/>
        <v>0</v>
      </c>
      <c r="AU36" s="1939">
        <f t="shared" si="33"/>
        <v>0</v>
      </c>
    </row>
    <row r="37" spans="2:47" x14ac:dyDescent="0.15">
      <c r="B37" s="1939" t="s">
        <v>181</v>
      </c>
      <c r="C37" s="1939"/>
      <c r="D37" s="1939">
        <f t="shared" ref="D37:O37" si="34">SUM(D9:D10,D13:D14,D18:D21,D24,D27)-D28</f>
        <v>0</v>
      </c>
      <c r="E37" s="1939">
        <f t="shared" si="34"/>
        <v>0</v>
      </c>
      <c r="F37" s="1939">
        <f t="shared" si="34"/>
        <v>0</v>
      </c>
      <c r="G37" s="1939">
        <f t="shared" si="34"/>
        <v>0</v>
      </c>
      <c r="H37" s="1939">
        <f t="shared" si="34"/>
        <v>0</v>
      </c>
      <c r="I37" s="1939">
        <f t="shared" si="34"/>
        <v>0</v>
      </c>
      <c r="J37" s="1939">
        <f t="shared" si="34"/>
        <v>0</v>
      </c>
      <c r="K37" s="1939">
        <f t="shared" si="34"/>
        <v>0</v>
      </c>
      <c r="L37" s="1939">
        <f t="shared" si="34"/>
        <v>0</v>
      </c>
      <c r="M37" s="1939">
        <f t="shared" si="34"/>
        <v>0</v>
      </c>
      <c r="N37" s="1939">
        <f t="shared" si="34"/>
        <v>0</v>
      </c>
      <c r="O37" s="1939">
        <f t="shared" si="34"/>
        <v>0</v>
      </c>
      <c r="Q37" s="1939">
        <f t="shared" ref="Q37:AB37" si="35">SUM(Q9:Q10,Q13:Q14,Q18:Q21,Q24,Q27)-Q28</f>
        <v>0</v>
      </c>
      <c r="R37" s="1939">
        <f t="shared" si="35"/>
        <v>0</v>
      </c>
      <c r="S37" s="1939">
        <f t="shared" si="35"/>
        <v>0</v>
      </c>
      <c r="T37" s="1939">
        <f t="shared" si="35"/>
        <v>0</v>
      </c>
      <c r="U37" s="1939">
        <f t="shared" si="35"/>
        <v>0</v>
      </c>
      <c r="V37" s="1939">
        <f t="shared" si="35"/>
        <v>0</v>
      </c>
      <c r="W37" s="1939">
        <f t="shared" si="35"/>
        <v>0</v>
      </c>
      <c r="X37" s="1939">
        <f t="shared" si="35"/>
        <v>0</v>
      </c>
      <c r="Y37" s="1939">
        <f t="shared" si="35"/>
        <v>0</v>
      </c>
      <c r="Z37" s="1939">
        <f t="shared" si="35"/>
        <v>0</v>
      </c>
      <c r="AA37" s="1939">
        <f t="shared" si="35"/>
        <v>2.4424906541753444E-15</v>
      </c>
      <c r="AB37" s="1939">
        <f t="shared" si="35"/>
        <v>0</v>
      </c>
      <c r="AD37" s="1939" t="s">
        <v>181</v>
      </c>
      <c r="AE37" s="1939"/>
      <c r="AF37" s="1939">
        <f t="shared" ref="AF37:AK37" si="36">SUM(AF9:AF10,AF13:AF14,AF18:AF21,AF24,AF27)-AF28</f>
        <v>0</v>
      </c>
      <c r="AG37" s="1939">
        <f t="shared" si="36"/>
        <v>0</v>
      </c>
      <c r="AH37" s="1939">
        <f t="shared" si="36"/>
        <v>0</v>
      </c>
      <c r="AI37" s="1939">
        <f t="shared" si="36"/>
        <v>0</v>
      </c>
      <c r="AJ37" s="1939">
        <f t="shared" si="36"/>
        <v>0</v>
      </c>
      <c r="AK37" s="1939">
        <f t="shared" si="36"/>
        <v>0</v>
      </c>
      <c r="AN37" s="1939" t="s">
        <v>181</v>
      </c>
      <c r="AO37" s="1939"/>
      <c r="AP37" s="1939">
        <f t="shared" ref="AP37:AU37" si="37">SUM(AP9:AP10,AP13:AP14,AP18:AP21,AP24,AP27)-AP28</f>
        <v>0</v>
      </c>
      <c r="AQ37" s="1939">
        <f t="shared" si="37"/>
        <v>0</v>
      </c>
      <c r="AR37" s="1939">
        <f t="shared" si="37"/>
        <v>0</v>
      </c>
      <c r="AS37" s="1939">
        <f t="shared" si="37"/>
        <v>0</v>
      </c>
      <c r="AT37" s="1939">
        <f t="shared" si="37"/>
        <v>0</v>
      </c>
      <c r="AU37" s="1939">
        <f t="shared" si="37"/>
        <v>0</v>
      </c>
    </row>
    <row r="39" spans="2:47" x14ac:dyDescent="0.15">
      <c r="AD39" s="1720"/>
    </row>
  </sheetData>
  <pageMargins left="0.7" right="0.7" top="0.75" bottom="0.75" header="0.3" footer="0.3"/>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B1:AC33"/>
  <sheetViews>
    <sheetView workbookViewId="0"/>
    <sheetView workbookViewId="1"/>
  </sheetViews>
  <sheetFormatPr defaultColWidth="9.140625" defaultRowHeight="9" outlineLevelCol="1" x14ac:dyDescent="0.15"/>
  <cols>
    <col min="1" max="4" width="9.140625" style="259"/>
    <col min="5" max="16" width="4.28515625" style="259" bestFit="1" customWidth="1"/>
    <col min="17" max="17" width="9.140625" style="259"/>
    <col min="18" max="18" width="30.28515625" style="259" customWidth="1"/>
    <col min="19" max="19" width="4.28515625" style="478" customWidth="1"/>
    <col min="20" max="21" width="9.28515625" style="390" customWidth="1"/>
    <col min="22" max="22" width="9.28515625" style="259" customWidth="1" outlineLevel="1"/>
    <col min="23" max="23" width="3.85546875" style="259" customWidth="1" outlineLevel="1"/>
    <col min="24" max="24" width="9.140625" style="259" customWidth="1" outlineLevel="1"/>
    <col min="25" max="25" width="30.28515625" style="259" customWidth="1"/>
    <col min="26" max="26" width="4.28515625" style="478" customWidth="1"/>
    <col min="27" max="28" width="9.28515625" style="390" customWidth="1"/>
    <col min="29" max="29" width="9.28515625" style="259" customWidth="1"/>
    <col min="30" max="16384" width="9.140625" style="259"/>
  </cols>
  <sheetData>
    <row r="1" spans="2:29" x14ac:dyDescent="0.15">
      <c r="B1" s="1930"/>
      <c r="C1" s="1930"/>
      <c r="D1" s="1930"/>
      <c r="E1" s="1930"/>
      <c r="F1" s="1930"/>
      <c r="G1" s="1930"/>
      <c r="H1" s="1930"/>
      <c r="I1" s="1930"/>
      <c r="J1" s="1930"/>
      <c r="K1" s="1930"/>
      <c r="L1" s="1930"/>
      <c r="M1" s="1930"/>
      <c r="N1" s="1930"/>
      <c r="O1" s="1930"/>
      <c r="P1" s="1930"/>
      <c r="R1" s="1930"/>
      <c r="S1" s="1934"/>
      <c r="T1" s="1931"/>
      <c r="U1" s="1931"/>
      <c r="V1" s="1930"/>
      <c r="Y1" s="2270"/>
      <c r="Z1" s="1424"/>
      <c r="AA1" s="1419"/>
      <c r="AB1" s="1419"/>
      <c r="AC1" s="1418"/>
    </row>
    <row r="2" spans="2:29" x14ac:dyDescent="0.15">
      <c r="Y2" s="1720"/>
    </row>
    <row r="3" spans="2:29" ht="15" x14ac:dyDescent="0.25">
      <c r="B3" s="794" t="s">
        <v>687</v>
      </c>
      <c r="C3" s="271"/>
      <c r="D3" s="271"/>
      <c r="E3" s="271"/>
      <c r="F3" s="271"/>
      <c r="G3" s="271"/>
      <c r="H3" s="271"/>
      <c r="I3" s="271"/>
      <c r="J3" s="271"/>
      <c r="K3" s="271"/>
      <c r="L3" s="271"/>
      <c r="M3" s="271"/>
      <c r="N3" s="271"/>
      <c r="O3" s="271"/>
      <c r="P3" s="271"/>
      <c r="R3" s="794" t="s">
        <v>688</v>
      </c>
      <c r="S3" s="271"/>
      <c r="T3" s="271"/>
      <c r="U3" s="271"/>
      <c r="V3" s="271"/>
      <c r="Y3" s="2271" t="s">
        <v>689</v>
      </c>
      <c r="Z3" s="271"/>
      <c r="AA3" s="271"/>
      <c r="AB3" s="271"/>
      <c r="AC3" s="271"/>
    </row>
    <row r="4" spans="2:29" x14ac:dyDescent="0.15">
      <c r="Y4" s="1720"/>
    </row>
    <row r="5" spans="2:29" ht="11.25" customHeight="1" x14ac:dyDescent="0.15">
      <c r="B5" s="257" t="s">
        <v>549</v>
      </c>
      <c r="R5" s="257" t="s">
        <v>549</v>
      </c>
      <c r="S5" s="258"/>
      <c r="Y5" s="2236" t="s">
        <v>550</v>
      </c>
      <c r="Z5" s="258"/>
    </row>
    <row r="6" spans="2:29" ht="11.25" customHeight="1" x14ac:dyDescent="0.15">
      <c r="B6" s="265"/>
      <c r="C6" s="265"/>
      <c r="D6" s="265"/>
      <c r="E6" s="261" t="s">
        <v>159</v>
      </c>
      <c r="F6" s="261" t="s">
        <v>159</v>
      </c>
      <c r="G6" s="261" t="s">
        <v>159</v>
      </c>
      <c r="H6" s="261" t="s">
        <v>159</v>
      </c>
      <c r="I6" s="261" t="s">
        <v>159</v>
      </c>
      <c r="J6" s="261" t="s">
        <v>159</v>
      </c>
      <c r="K6" s="261" t="s">
        <v>159</v>
      </c>
      <c r="L6" s="261" t="s">
        <v>159</v>
      </c>
      <c r="M6" s="261" t="s">
        <v>159</v>
      </c>
      <c r="N6" s="261" t="s">
        <v>159</v>
      </c>
      <c r="O6" s="261" t="s">
        <v>159</v>
      </c>
      <c r="P6" s="261" t="s">
        <v>159</v>
      </c>
      <c r="R6" s="265"/>
      <c r="S6" s="266"/>
      <c r="T6" s="261" t="str">
        <f>+[2]rapkvart!F225</f>
        <v>30 jun</v>
      </c>
      <c r="U6" s="261" t="str">
        <f>+[2]rapkvart!G225</f>
        <v>30 jun</v>
      </c>
      <c r="V6" s="261" t="str">
        <f>+[2]rapkvart!I225</f>
        <v>31 dec</v>
      </c>
      <c r="Y6" s="1693"/>
      <c r="Z6" s="266"/>
      <c r="AA6" s="261" t="str">
        <f t="shared" ref="AA6:AC7" si="0">T6</f>
        <v>30 jun</v>
      </c>
      <c r="AB6" s="261" t="str">
        <f t="shared" si="0"/>
        <v>30 jun</v>
      </c>
      <c r="AC6" s="261" t="str">
        <f t="shared" si="0"/>
        <v>31 dec</v>
      </c>
    </row>
    <row r="7" spans="2:29" x14ac:dyDescent="0.15">
      <c r="B7" s="273" t="str">
        <f>[2]rapkvart!B226</f>
        <v>Mkr</v>
      </c>
      <c r="C7" s="273"/>
      <c r="D7" s="273"/>
      <c r="E7" s="948">
        <v>2403</v>
      </c>
      <c r="F7" s="948">
        <f>E7+3</f>
        <v>2406</v>
      </c>
      <c r="G7" s="948">
        <f t="shared" ref="G7:H7" si="1">F7+3</f>
        <v>2409</v>
      </c>
      <c r="H7" s="948">
        <f t="shared" si="1"/>
        <v>2412</v>
      </c>
      <c r="I7" s="948">
        <f>E7+100</f>
        <v>2503</v>
      </c>
      <c r="J7" s="948">
        <f t="shared" ref="J7:N7" si="2">F7+100</f>
        <v>2506</v>
      </c>
      <c r="K7" s="948">
        <f t="shared" si="2"/>
        <v>2509</v>
      </c>
      <c r="L7" s="948">
        <f t="shared" si="2"/>
        <v>2512</v>
      </c>
      <c r="M7" s="948">
        <f t="shared" si="2"/>
        <v>2603</v>
      </c>
      <c r="N7" s="948">
        <f t="shared" si="2"/>
        <v>2606</v>
      </c>
      <c r="O7" s="948">
        <f t="shared" ref="O7" si="3">K7+100</f>
        <v>2609</v>
      </c>
      <c r="P7" s="948">
        <f t="shared" ref="P7" si="4">L7+100</f>
        <v>2612</v>
      </c>
      <c r="R7" s="273" t="str">
        <f>+[2]rapkvart!B226</f>
        <v>Mkr</v>
      </c>
      <c r="S7" s="274" t="str">
        <f>+[2]rapkvart!C226</f>
        <v>Not</v>
      </c>
      <c r="T7" s="948">
        <f>+[2]rapkvart!F226</f>
        <v>2026</v>
      </c>
      <c r="U7" s="948">
        <f>+[2]rapkvart!G226</f>
        <v>2025</v>
      </c>
      <c r="V7" s="948">
        <f>+[2]rapkvart!I226</f>
        <v>2025</v>
      </c>
      <c r="Y7" s="1690" t="str">
        <f>+[2]rapkvart!A226</f>
        <v>MSEK</v>
      </c>
      <c r="Z7" s="274" t="s">
        <v>219</v>
      </c>
      <c r="AA7" s="948">
        <f t="shared" si="0"/>
        <v>2026</v>
      </c>
      <c r="AB7" s="948">
        <f t="shared" si="0"/>
        <v>2025</v>
      </c>
      <c r="AC7" s="948">
        <f t="shared" si="0"/>
        <v>2025</v>
      </c>
    </row>
    <row r="8" spans="2:29" x14ac:dyDescent="0.15">
      <c r="B8" s="1408" t="str">
        <f>[2]rapkvart!B227</f>
        <v>Tillgångar</v>
      </c>
      <c r="C8" s="1408"/>
      <c r="D8" s="1408"/>
      <c r="E8" s="1425"/>
      <c r="F8" s="1425"/>
      <c r="G8" s="1425"/>
      <c r="H8" s="1425"/>
      <c r="I8" s="1425"/>
      <c r="J8" s="1425"/>
      <c r="K8" s="1425"/>
      <c r="L8" s="1425"/>
      <c r="M8" s="1425"/>
      <c r="N8" s="1425"/>
      <c r="O8" s="1425"/>
      <c r="P8" s="1425"/>
      <c r="R8" s="257" t="str">
        <f>+[2]rapkvart!B227</f>
        <v>Tillgångar</v>
      </c>
      <c r="T8" s="1345"/>
      <c r="U8" s="1252"/>
      <c r="V8" s="1561"/>
      <c r="Y8" s="2236" t="str">
        <f>+[2]rapkvart!A227</f>
        <v>Assets</v>
      </c>
      <c r="AA8" s="1345"/>
      <c r="AB8" s="1252"/>
      <c r="AC8" s="1561"/>
    </row>
    <row r="9" spans="2:29" ht="11.25" customHeight="1" x14ac:dyDescent="0.15">
      <c r="B9" s="1406" t="str">
        <f>[2]rapkvart!B228</f>
        <v>Anläggningstillgångar</v>
      </c>
      <c r="C9" s="1406"/>
      <c r="D9" s="1406"/>
      <c r="E9" s="1425"/>
      <c r="F9" s="1425"/>
      <c r="G9" s="1425"/>
      <c r="H9" s="1425"/>
      <c r="I9" s="1425"/>
      <c r="J9" s="1425"/>
      <c r="K9" s="1425"/>
      <c r="L9" s="1425"/>
      <c r="M9" s="1425"/>
      <c r="N9" s="1425"/>
      <c r="O9" s="1425"/>
      <c r="P9" s="1425"/>
      <c r="R9" s="259" t="str">
        <f>+[2]rapkvart!B228</f>
        <v>Anläggningstillgångar</v>
      </c>
      <c r="T9" s="1268"/>
      <c r="U9" s="1269"/>
      <c r="V9" s="1940"/>
      <c r="Y9" s="1720" t="str">
        <f>+[2]rapkvart!A228</f>
        <v>Tangible assets</v>
      </c>
      <c r="AA9" s="1268"/>
      <c r="AB9" s="1269"/>
      <c r="AC9" s="1269"/>
    </row>
    <row r="10" spans="2:29" x14ac:dyDescent="0.15">
      <c r="B10" s="1433" t="str">
        <f>[2]rapkvart!B229</f>
        <v>Materiella anläggningstillgångar</v>
      </c>
      <c r="C10" s="1433"/>
      <c r="D10" s="1433"/>
      <c r="E10" s="1427">
        <f>[2]rapkvart!S229</f>
        <v>178.3</v>
      </c>
      <c r="F10" s="1427">
        <f>[2]rapkvart!T229</f>
        <v>176.5</v>
      </c>
      <c r="G10" s="1427">
        <f>[2]rapkvart!U229</f>
        <v>175</v>
      </c>
      <c r="H10" s="1427">
        <f>[2]rapkvart!V229</f>
        <v>173.2</v>
      </c>
      <c r="I10" s="1427">
        <f>[2]rapkvart!O229</f>
        <v>171.6</v>
      </c>
      <c r="J10" s="1427">
        <f>[2]rapkvart!P229</f>
        <v>170.3</v>
      </c>
      <c r="K10" s="1427">
        <f>[2]rapkvart!Q229</f>
        <v>170.3</v>
      </c>
      <c r="L10" s="1427">
        <f>[2]rapkvart!R229</f>
        <v>169.4</v>
      </c>
      <c r="M10" s="1427">
        <f>[2]rapkvart!K229</f>
        <v>205.1</v>
      </c>
      <c r="N10" s="1427">
        <f>[2]rapkvart!L229</f>
        <v>203.7</v>
      </c>
      <c r="O10" s="1427">
        <f>[2]rapkvart!M229</f>
        <v>170.3</v>
      </c>
      <c r="P10" s="1427">
        <f>[2]rapkvart!N229</f>
        <v>169.4</v>
      </c>
      <c r="R10" s="472" t="str">
        <f>+[2]rapkvart!B229</f>
        <v>Materiella anläggningstillgångar</v>
      </c>
      <c r="S10" s="473"/>
      <c r="T10" s="1250">
        <f>N10</f>
        <v>203.7</v>
      </c>
      <c r="U10" s="1251">
        <f>J10</f>
        <v>170.3</v>
      </c>
      <c r="V10" s="1562">
        <f>L10</f>
        <v>169.4</v>
      </c>
      <c r="Y10" s="1593" t="str">
        <f>+[2]rapkvart!A229</f>
        <v>Tangible fixed assets</v>
      </c>
      <c r="Z10" s="473"/>
      <c r="AA10" s="1250">
        <f>T10</f>
        <v>203.7</v>
      </c>
      <c r="AB10" s="1251">
        <f>U10</f>
        <v>170.3</v>
      </c>
      <c r="AC10" s="1562">
        <f>V10</f>
        <v>169.4</v>
      </c>
    </row>
    <row r="11" spans="2:29" x14ac:dyDescent="0.15">
      <c r="B11" s="1434" t="str">
        <f>[2]rapkvart!B230</f>
        <v>Finansiella anläggningstillgångar (aktier i dotterbolag)</v>
      </c>
      <c r="C11" s="1434"/>
      <c r="D11" s="1434"/>
      <c r="E11" s="1428">
        <f>[2]rapkvart!S230</f>
        <v>87.9</v>
      </c>
      <c r="F11" s="1428">
        <f>[2]rapkvart!T230</f>
        <v>87.9</v>
      </c>
      <c r="G11" s="1428">
        <f>[2]rapkvart!U230</f>
        <v>87.9</v>
      </c>
      <c r="H11" s="1428">
        <f>[2]rapkvart!V230</f>
        <v>87.9</v>
      </c>
      <c r="I11" s="1428">
        <f>[2]rapkvart!O230</f>
        <v>90.5</v>
      </c>
      <c r="J11" s="1428">
        <f>[2]rapkvart!P230</f>
        <v>90.5</v>
      </c>
      <c r="K11" s="1428">
        <f>[2]rapkvart!Q230</f>
        <v>90.5</v>
      </c>
      <c r="L11" s="1428">
        <f>[2]rapkvart!R230</f>
        <v>87.9</v>
      </c>
      <c r="M11" s="1428">
        <f>[2]rapkvart!K230</f>
        <v>87.9</v>
      </c>
      <c r="N11" s="1428">
        <f>[2]rapkvart!L230</f>
        <v>87.9</v>
      </c>
      <c r="O11" s="1428">
        <f>[2]rapkvart!M230</f>
        <v>90.5</v>
      </c>
      <c r="P11" s="1428">
        <f>[2]rapkvart!N230</f>
        <v>87.9</v>
      </c>
      <c r="R11" s="785" t="str">
        <f>+[2]rapkvart!B230</f>
        <v>Finansiella anläggningstillgångar (aktier i dotterbolag)</v>
      </c>
      <c r="S11" s="1726"/>
      <c r="T11" s="1727">
        <f t="shared" ref="T11:T12" si="5">N11</f>
        <v>87.9</v>
      </c>
      <c r="U11" s="1260">
        <f t="shared" ref="U11:U12" si="6">J11</f>
        <v>90.5</v>
      </c>
      <c r="V11" s="1728">
        <f t="shared" ref="V11:V12" si="7">L11</f>
        <v>87.9</v>
      </c>
      <c r="Y11" s="2243" t="str">
        <f>+[2]rapkvart!A230</f>
        <v>Financial assets (shares in subsidiaries)</v>
      </c>
      <c r="Z11" s="1726"/>
      <c r="AA11" s="1727">
        <f t="shared" ref="AA11:AC12" si="8">T11</f>
        <v>87.9</v>
      </c>
      <c r="AB11" s="1260">
        <f t="shared" si="8"/>
        <v>90.5</v>
      </c>
      <c r="AC11" s="1260">
        <f t="shared" si="8"/>
        <v>87.9</v>
      </c>
    </row>
    <row r="12" spans="2:29" x14ac:dyDescent="0.15">
      <c r="B12" s="1408" t="str">
        <f>[2]rapkvart!B231</f>
        <v>Summa anläggningstillgångar</v>
      </c>
      <c r="C12" s="1408"/>
      <c r="D12" s="1408"/>
      <c r="E12" s="1429">
        <f>[2]rapkvart!S231</f>
        <v>266.20000000000005</v>
      </c>
      <c r="F12" s="1429">
        <f>[2]rapkvart!T231</f>
        <v>264.39999999999998</v>
      </c>
      <c r="G12" s="1429">
        <f>[2]rapkvart!U231</f>
        <v>262.89999999999998</v>
      </c>
      <c r="H12" s="1429">
        <f>[2]rapkvart!V231</f>
        <v>261.10000000000002</v>
      </c>
      <c r="I12" s="1429">
        <f>[2]rapkvart!O231</f>
        <v>262.10000000000002</v>
      </c>
      <c r="J12" s="1429">
        <f>[2]rapkvart!P231</f>
        <v>260.8</v>
      </c>
      <c r="K12" s="1429">
        <f>[2]rapkvart!Q231</f>
        <v>260.8</v>
      </c>
      <c r="L12" s="1429">
        <f>[2]rapkvart!R231</f>
        <v>257.3</v>
      </c>
      <c r="M12" s="1429">
        <f>[2]rapkvart!K231</f>
        <v>293</v>
      </c>
      <c r="N12" s="1429">
        <f>[2]rapkvart!L231</f>
        <v>291.60000000000002</v>
      </c>
      <c r="O12" s="1429">
        <f>[2]rapkvart!M231</f>
        <v>260.8</v>
      </c>
      <c r="P12" s="1429">
        <f>[2]rapkvart!N231</f>
        <v>257.3</v>
      </c>
      <c r="R12" s="257" t="str">
        <f>+[2]rapkvart!B231</f>
        <v>Summa anläggningstillgångar</v>
      </c>
      <c r="S12" s="258"/>
      <c r="T12" s="1254">
        <f t="shared" si="5"/>
        <v>291.60000000000002</v>
      </c>
      <c r="U12" s="960">
        <f t="shared" si="6"/>
        <v>260.8</v>
      </c>
      <c r="V12" s="1563">
        <f t="shared" si="7"/>
        <v>257.3</v>
      </c>
      <c r="Y12" s="2236" t="str">
        <f>+[2]rapkvart!A231</f>
        <v>Total fixed assets</v>
      </c>
      <c r="Z12" s="258"/>
      <c r="AA12" s="1254">
        <f t="shared" si="8"/>
        <v>291.60000000000002</v>
      </c>
      <c r="AB12" s="960">
        <f t="shared" si="8"/>
        <v>260.8</v>
      </c>
      <c r="AC12" s="1563">
        <f t="shared" si="8"/>
        <v>257.3</v>
      </c>
    </row>
    <row r="13" spans="2:29" x14ac:dyDescent="0.15">
      <c r="B13" s="1406">
        <f>[2]rapkvart!B232</f>
        <v>0</v>
      </c>
      <c r="C13" s="1406"/>
      <c r="D13" s="1406"/>
      <c r="E13" s="1426"/>
      <c r="F13" s="1426"/>
      <c r="G13" s="1426"/>
      <c r="H13" s="1426"/>
      <c r="I13" s="1426"/>
      <c r="J13" s="1426"/>
      <c r="K13" s="1426"/>
      <c r="L13" s="1426"/>
      <c r="M13" s="1426"/>
      <c r="N13" s="1426"/>
      <c r="O13" s="1426"/>
      <c r="P13" s="1426"/>
      <c r="T13" s="1268"/>
      <c r="U13" s="1269"/>
      <c r="V13" s="1940"/>
      <c r="Y13" s="1720"/>
      <c r="AA13" s="1268"/>
      <c r="AB13" s="1269"/>
      <c r="AC13" s="1269"/>
    </row>
    <row r="14" spans="2:29" x14ac:dyDescent="0.15">
      <c r="B14" s="1406" t="str">
        <f>[2]rapkvart!B233</f>
        <v>Omsättningstillgångar</v>
      </c>
      <c r="C14" s="1406"/>
      <c r="D14" s="1406"/>
      <c r="E14" s="1426"/>
      <c r="F14" s="1426"/>
      <c r="G14" s="1426"/>
      <c r="H14" s="1426"/>
      <c r="I14" s="1426"/>
      <c r="J14" s="1426"/>
      <c r="K14" s="1426"/>
      <c r="L14" s="1426"/>
      <c r="M14" s="1426"/>
      <c r="N14" s="1426"/>
      <c r="O14" s="1426"/>
      <c r="P14" s="1426"/>
      <c r="R14" s="259" t="str">
        <f>+[2]rapkvart!B233</f>
        <v>Omsättningstillgångar</v>
      </c>
      <c r="T14" s="1268"/>
      <c r="U14" s="1269"/>
      <c r="V14" s="1940"/>
      <c r="Y14" s="1720" t="str">
        <f>+[2]rapkvart!A233</f>
        <v>Current assets</v>
      </c>
      <c r="AA14" s="1268"/>
      <c r="AB14" s="1269"/>
      <c r="AC14" s="1269"/>
    </row>
    <row r="15" spans="2:29" x14ac:dyDescent="0.15">
      <c r="B15" s="1433" t="str">
        <f>[2]rapkvart!B234</f>
        <v>Kortfristiga fordringar</v>
      </c>
      <c r="C15" s="1433"/>
      <c r="D15" s="1433"/>
      <c r="E15" s="1427">
        <f>[2]rapkvart!S234</f>
        <v>84</v>
      </c>
      <c r="F15" s="1427">
        <f>[2]rapkvart!T234</f>
        <v>55.2</v>
      </c>
      <c r="G15" s="1427">
        <f>[2]rapkvart!U234</f>
        <v>80.5</v>
      </c>
      <c r="H15" s="1427">
        <f>[2]rapkvart!V234</f>
        <v>154.9</v>
      </c>
      <c r="I15" s="1427">
        <f>[2]rapkvart!O234</f>
        <v>163.69999999999999</v>
      </c>
      <c r="J15" s="1427">
        <f>[2]rapkvart!P234</f>
        <v>133.69999999999999</v>
      </c>
      <c r="K15" s="1427">
        <f>[2]rapkvart!Q234</f>
        <v>142.69999999999999</v>
      </c>
      <c r="L15" s="1427">
        <f>[2]rapkvart!R234</f>
        <v>186.7</v>
      </c>
      <c r="M15" s="1427">
        <f>[2]rapkvart!K234</f>
        <v>152.4</v>
      </c>
      <c r="N15" s="1427">
        <f>[2]rapkvart!L234</f>
        <v>181.5</v>
      </c>
      <c r="O15" s="1427">
        <f>[2]rapkvart!M234</f>
        <v>142.69999999999999</v>
      </c>
      <c r="P15" s="1427">
        <f>[2]rapkvart!N234</f>
        <v>186.7</v>
      </c>
      <c r="R15" s="472" t="str">
        <f>+[2]rapkvart!B234</f>
        <v>Kortfristiga fordringar</v>
      </c>
      <c r="S15" s="473"/>
      <c r="T15" s="1250">
        <f t="shared" ref="T15" si="9">N15</f>
        <v>181.5</v>
      </c>
      <c r="U15" s="1251">
        <f t="shared" ref="U15" si="10">J15</f>
        <v>133.69999999999999</v>
      </c>
      <c r="V15" s="1562">
        <f t="shared" ref="V15" si="11">L15</f>
        <v>186.7</v>
      </c>
      <c r="Y15" s="1593" t="str">
        <f>+[2]rapkvart!A234</f>
        <v>Current receivables</v>
      </c>
      <c r="Z15" s="473"/>
      <c r="AA15" s="1250">
        <f t="shared" ref="AA15:AC18" si="12">T15</f>
        <v>181.5</v>
      </c>
      <c r="AB15" s="1251">
        <f t="shared" si="12"/>
        <v>133.69999999999999</v>
      </c>
      <c r="AC15" s="1562">
        <f t="shared" si="12"/>
        <v>186.7</v>
      </c>
    </row>
    <row r="16" spans="2:29" x14ac:dyDescent="0.15">
      <c r="B16" s="1434" t="str">
        <f>[2]rapkvart!B235</f>
        <v>Kassa och bank</v>
      </c>
      <c r="C16" s="1434"/>
      <c r="D16" s="1434"/>
      <c r="E16" s="1428">
        <f>[2]rapkvart!S235</f>
        <v>0.5</v>
      </c>
      <c r="F16" s="1428">
        <f>[2]rapkvart!T235</f>
        <v>0</v>
      </c>
      <c r="G16" s="1428">
        <f>[2]rapkvart!U235</f>
        <v>0</v>
      </c>
      <c r="H16" s="1428">
        <f>[2]rapkvart!V235</f>
        <v>0</v>
      </c>
      <c r="I16" s="1428">
        <f>[2]rapkvart!O235</f>
        <v>0</v>
      </c>
      <c r="J16" s="1428">
        <f>[2]rapkvart!P235</f>
        <v>0</v>
      </c>
      <c r="K16" s="1428">
        <f>[2]rapkvart!Q235</f>
        <v>0</v>
      </c>
      <c r="L16" s="1428">
        <f>[2]rapkvart!R235</f>
        <v>0</v>
      </c>
      <c r="M16" s="1428">
        <f>[2]rapkvart!K235</f>
        <v>0</v>
      </c>
      <c r="N16" s="1428">
        <f>[2]rapkvart!L235</f>
        <v>0</v>
      </c>
      <c r="O16" s="1428">
        <f>[2]rapkvart!M235</f>
        <v>0</v>
      </c>
      <c r="P16" s="1428">
        <f>[2]rapkvart!N235</f>
        <v>0</v>
      </c>
      <c r="R16" s="1593" t="str">
        <f>+[2]rapkvart!B235</f>
        <v>Kassa och bank</v>
      </c>
      <c r="S16" s="1729"/>
      <c r="T16" s="1730">
        <f t="shared" ref="T16:T18" si="13">N16</f>
        <v>0</v>
      </c>
      <c r="U16" s="1731">
        <f t="shared" ref="U16:U18" si="14">J16</f>
        <v>0</v>
      </c>
      <c r="V16" s="1731">
        <f t="shared" ref="V16:V18" si="15">L16</f>
        <v>0</v>
      </c>
      <c r="Y16" s="1593" t="str">
        <f>+[2]rapkvart!A235</f>
        <v>Cash and bank balances</v>
      </c>
      <c r="Z16" s="1729"/>
      <c r="AA16" s="1730">
        <f t="shared" si="12"/>
        <v>0</v>
      </c>
      <c r="AB16" s="1731">
        <f t="shared" si="12"/>
        <v>0</v>
      </c>
      <c r="AC16" s="1731">
        <f t="shared" si="12"/>
        <v>0</v>
      </c>
    </row>
    <row r="17" spans="2:29" ht="9.75" thickBot="1" x14ac:dyDescent="0.2">
      <c r="B17" s="1435" t="str">
        <f>[2]rapkvart!B236</f>
        <v>Summa omsättningstillgångar</v>
      </c>
      <c r="C17" s="1435"/>
      <c r="D17" s="1435"/>
      <c r="E17" s="1430">
        <f>[2]rapkvart!S236</f>
        <v>84.5</v>
      </c>
      <c r="F17" s="1430">
        <f>[2]rapkvart!T236</f>
        <v>55.2</v>
      </c>
      <c r="G17" s="1430">
        <f>[2]rapkvart!U236</f>
        <v>80.5</v>
      </c>
      <c r="H17" s="1430">
        <f>[2]rapkvart!V236</f>
        <v>154.9</v>
      </c>
      <c r="I17" s="1430">
        <f>[2]rapkvart!O236</f>
        <v>163.69999999999999</v>
      </c>
      <c r="J17" s="1430">
        <f>[2]rapkvart!P236</f>
        <v>133.69999999999999</v>
      </c>
      <c r="K17" s="1430">
        <f>[2]rapkvart!Q236</f>
        <v>142.69999999999999</v>
      </c>
      <c r="L17" s="1430">
        <f>[2]rapkvart!R236</f>
        <v>186.7</v>
      </c>
      <c r="M17" s="1430">
        <f>[2]rapkvart!K236</f>
        <v>152.4</v>
      </c>
      <c r="N17" s="1430">
        <f>[2]rapkvart!L236</f>
        <v>181.5</v>
      </c>
      <c r="O17" s="1430">
        <f>[2]rapkvart!M236</f>
        <v>142.69999999999999</v>
      </c>
      <c r="P17" s="1430">
        <f>[2]rapkvart!N236</f>
        <v>186.7</v>
      </c>
      <c r="R17" s="1732" t="str">
        <f>+[2]rapkvart!B236</f>
        <v>Summa omsättningstillgångar</v>
      </c>
      <c r="S17" s="1733"/>
      <c r="T17" s="1734">
        <f t="shared" si="13"/>
        <v>181.5</v>
      </c>
      <c r="U17" s="1735">
        <f t="shared" si="14"/>
        <v>133.69999999999999</v>
      </c>
      <c r="V17" s="1736">
        <f t="shared" si="15"/>
        <v>186.7</v>
      </c>
      <c r="Y17" s="2272" t="str">
        <f>+[2]rapkvart!A236</f>
        <v>Total current assets</v>
      </c>
      <c r="Z17" s="1733"/>
      <c r="AA17" s="1734">
        <f t="shared" si="12"/>
        <v>181.5</v>
      </c>
      <c r="AB17" s="1735">
        <f t="shared" si="12"/>
        <v>133.69999999999999</v>
      </c>
      <c r="AC17" s="1735">
        <f t="shared" si="12"/>
        <v>186.7</v>
      </c>
    </row>
    <row r="18" spans="2:29" x14ac:dyDescent="0.15">
      <c r="B18" s="1408" t="str">
        <f>[2]rapkvart!B237</f>
        <v>Summa tillgångar</v>
      </c>
      <c r="C18" s="1408"/>
      <c r="D18" s="1408"/>
      <c r="E18" s="1429">
        <f>[2]rapkvart!S237</f>
        <v>350.70000000000005</v>
      </c>
      <c r="F18" s="1429">
        <f>[2]rapkvart!T237</f>
        <v>319.59999999999997</v>
      </c>
      <c r="G18" s="1429">
        <f>[2]rapkvart!U237</f>
        <v>343.4</v>
      </c>
      <c r="H18" s="1429">
        <f>[2]rapkvart!V237</f>
        <v>416</v>
      </c>
      <c r="I18" s="1429">
        <f>[2]rapkvart!O237</f>
        <v>425.8</v>
      </c>
      <c r="J18" s="1429">
        <f>[2]rapkvart!P237</f>
        <v>394.5</v>
      </c>
      <c r="K18" s="1429">
        <f>[2]rapkvart!Q237</f>
        <v>403.5</v>
      </c>
      <c r="L18" s="1429">
        <f>[2]rapkvart!R237</f>
        <v>444</v>
      </c>
      <c r="M18" s="1429">
        <f>[2]rapkvart!K237</f>
        <v>445.4</v>
      </c>
      <c r="N18" s="1429">
        <f>[2]rapkvart!L237</f>
        <v>473.1</v>
      </c>
      <c r="O18" s="1429">
        <f>[2]rapkvart!M237</f>
        <v>403.5</v>
      </c>
      <c r="P18" s="1429">
        <f>[2]rapkvart!N237</f>
        <v>444</v>
      </c>
      <c r="R18" s="257" t="str">
        <f>+[2]rapkvart!B237</f>
        <v>Summa tillgångar</v>
      </c>
      <c r="S18" s="258"/>
      <c r="T18" s="1254">
        <f t="shared" si="13"/>
        <v>473.1</v>
      </c>
      <c r="U18" s="960">
        <f t="shared" si="14"/>
        <v>394.5</v>
      </c>
      <c r="V18" s="1563">
        <f t="shared" si="15"/>
        <v>444</v>
      </c>
      <c r="Y18" s="2236" t="str">
        <f>+[2]rapkvart!A237</f>
        <v>Total assets</v>
      </c>
      <c r="Z18" s="258"/>
      <c r="AA18" s="1254">
        <f t="shared" si="12"/>
        <v>473.1</v>
      </c>
      <c r="AB18" s="960">
        <f t="shared" si="12"/>
        <v>394.5</v>
      </c>
      <c r="AC18" s="1563">
        <f t="shared" si="12"/>
        <v>444</v>
      </c>
    </row>
    <row r="19" spans="2:29" x14ac:dyDescent="0.15">
      <c r="B19" s="1406">
        <f>[2]rapkvart!B238</f>
        <v>0</v>
      </c>
      <c r="C19" s="1406"/>
      <c r="D19" s="1406"/>
      <c r="E19" s="1426"/>
      <c r="F19" s="1426"/>
      <c r="G19" s="1426"/>
      <c r="H19" s="1426"/>
      <c r="I19" s="1426"/>
      <c r="J19" s="1426"/>
      <c r="K19" s="1426"/>
      <c r="L19" s="1426"/>
      <c r="M19" s="1426"/>
      <c r="N19" s="1426"/>
      <c r="O19" s="1426"/>
      <c r="P19" s="1426"/>
      <c r="T19" s="1268"/>
      <c r="U19" s="1269"/>
      <c r="V19" s="1940"/>
      <c r="Y19" s="1720"/>
      <c r="AA19" s="1268"/>
      <c r="AB19" s="1269"/>
      <c r="AC19" s="1269"/>
    </row>
    <row r="20" spans="2:29" x14ac:dyDescent="0.15">
      <c r="B20" s="1408" t="str">
        <f>[2]rapkvart!B239</f>
        <v>Eget kapital och skulder</v>
      </c>
      <c r="C20" s="1408"/>
      <c r="D20" s="1408"/>
      <c r="E20" s="1426"/>
      <c r="F20" s="1426"/>
      <c r="G20" s="1426"/>
      <c r="H20" s="1426"/>
      <c r="I20" s="1426"/>
      <c r="J20" s="1426"/>
      <c r="K20" s="1426"/>
      <c r="L20" s="1426"/>
      <c r="M20" s="1426"/>
      <c r="N20" s="1426"/>
      <c r="O20" s="1426"/>
      <c r="P20" s="1426"/>
      <c r="R20" s="257" t="str">
        <f>+[2]rapkvart!B239</f>
        <v>Eget kapital och skulder</v>
      </c>
      <c r="T20" s="1268"/>
      <c r="U20" s="1269"/>
      <c r="V20" s="1940"/>
      <c r="Y20" s="2236" t="str">
        <f>+[2]rapkvart!A239</f>
        <v>Equity and liabilities</v>
      </c>
      <c r="AA20" s="1268"/>
      <c r="AB20" s="1269"/>
      <c r="AC20" s="1269"/>
    </row>
    <row r="21" spans="2:29" x14ac:dyDescent="0.15">
      <c r="B21" s="1433" t="str">
        <f>[2]rapkvart!B240</f>
        <v>Eget kapital</v>
      </c>
      <c r="C21" s="1433"/>
      <c r="D21" s="1433"/>
      <c r="E21" s="1427">
        <f>[2]rapkvart!S240</f>
        <v>256.3</v>
      </c>
      <c r="F21" s="1427">
        <f>[2]rapkvart!T240</f>
        <v>225.1</v>
      </c>
      <c r="G21" s="1427">
        <f>[2]rapkvart!U240</f>
        <v>247.8</v>
      </c>
      <c r="H21" s="1427">
        <f>[2]rapkvart!V240</f>
        <v>321.7</v>
      </c>
      <c r="I21" s="1427">
        <f>[2]rapkvart!O240</f>
        <v>340.4</v>
      </c>
      <c r="J21" s="1427">
        <f>[2]rapkvart!P240</f>
        <v>309.7</v>
      </c>
      <c r="K21" s="1427">
        <f>[2]rapkvart!Q240</f>
        <v>316.39999999999998</v>
      </c>
      <c r="L21" s="1427">
        <f>[2]rapkvart!R240</f>
        <v>331.8</v>
      </c>
      <c r="M21" s="1427">
        <f>[2]rapkvart!K240</f>
        <v>338</v>
      </c>
      <c r="N21" s="1427">
        <f>[2]rapkvart!L240</f>
        <v>364.8</v>
      </c>
      <c r="O21" s="1427">
        <f>[2]rapkvart!M240</f>
        <v>316.39999999999998</v>
      </c>
      <c r="P21" s="1427">
        <f>[2]rapkvart!N240</f>
        <v>331.8</v>
      </c>
      <c r="R21" s="472" t="str">
        <f>+[2]rapkvart!B240</f>
        <v>Eget kapital</v>
      </c>
      <c r="S21" s="473"/>
      <c r="T21" s="1250">
        <f t="shared" ref="T21" si="16">N21</f>
        <v>364.8</v>
      </c>
      <c r="U21" s="1251">
        <f t="shared" ref="U21" si="17">J21</f>
        <v>309.7</v>
      </c>
      <c r="V21" s="1562">
        <f t="shared" ref="V21" si="18">L21</f>
        <v>331.8</v>
      </c>
      <c r="Y21" s="1593" t="str">
        <f>+[2]rapkvart!A240</f>
        <v>Equity</v>
      </c>
      <c r="Z21" s="473"/>
      <c r="AA21" s="1250">
        <f t="shared" ref="AA21:AC26" si="19">T21</f>
        <v>364.8</v>
      </c>
      <c r="AB21" s="1251">
        <f t="shared" si="19"/>
        <v>309.7</v>
      </c>
      <c r="AC21" s="1562">
        <f t="shared" si="19"/>
        <v>331.8</v>
      </c>
    </row>
    <row r="22" spans="2:29" x14ac:dyDescent="0.15">
      <c r="B22" s="1433" t="str">
        <f>[2]rapkvart!B241</f>
        <v>Obeskattade reserver</v>
      </c>
      <c r="C22" s="1433"/>
      <c r="D22" s="1433"/>
      <c r="E22" s="1431">
        <f>[2]rapkvart!S241</f>
        <v>79</v>
      </c>
      <c r="F22" s="1431">
        <f>[2]rapkvart!T241</f>
        <v>79</v>
      </c>
      <c r="G22" s="1431">
        <f>[2]rapkvart!U241</f>
        <v>79</v>
      </c>
      <c r="H22" s="1431">
        <f>[2]rapkvart!V241</f>
        <v>75.400000000000006</v>
      </c>
      <c r="I22" s="1431">
        <f>[2]rapkvart!O241</f>
        <v>75.400000000000006</v>
      </c>
      <c r="J22" s="1431">
        <f>[2]rapkvart!P241</f>
        <v>75.400000000000006</v>
      </c>
      <c r="K22" s="1431">
        <f>[2]rapkvart!Q241</f>
        <v>75.400000000000006</v>
      </c>
      <c r="L22" s="1431">
        <f>[2]rapkvart!R241</f>
        <v>98.5</v>
      </c>
      <c r="M22" s="1431">
        <f>[2]rapkvart!K241</f>
        <v>98.5</v>
      </c>
      <c r="N22" s="1431">
        <f>[2]rapkvart!L241</f>
        <v>98.5</v>
      </c>
      <c r="O22" s="1431">
        <f>[2]rapkvart!M241</f>
        <v>75.400000000000006</v>
      </c>
      <c r="P22" s="1431">
        <f>[2]rapkvart!N241</f>
        <v>98.5</v>
      </c>
      <c r="R22" s="472" t="str">
        <f>+[2]rapkvart!B241</f>
        <v>Obeskattade reserver</v>
      </c>
      <c r="S22" s="473"/>
      <c r="T22" s="1346">
        <f t="shared" ref="T22:T26" si="20">N22</f>
        <v>98.5</v>
      </c>
      <c r="U22" s="1251">
        <f t="shared" ref="U22:U26" si="21">J22</f>
        <v>75.400000000000006</v>
      </c>
      <c r="V22" s="1562">
        <f t="shared" ref="V22:V26" si="22">L22</f>
        <v>98.5</v>
      </c>
      <c r="Y22" s="1593" t="str">
        <f>+[2]rapkvart!A241</f>
        <v>Untaxed reserves</v>
      </c>
      <c r="Z22" s="473"/>
      <c r="AA22" s="1346">
        <f t="shared" si="19"/>
        <v>98.5</v>
      </c>
      <c r="AB22" s="1251">
        <f t="shared" si="19"/>
        <v>75.400000000000006</v>
      </c>
      <c r="AC22" s="1562">
        <f t="shared" si="19"/>
        <v>98.5</v>
      </c>
    </row>
    <row r="23" spans="2:29" x14ac:dyDescent="0.15">
      <c r="B23" s="1433" t="str">
        <f>[2]rapkvart!B242</f>
        <v>Uppskjutna skatteskulder</v>
      </c>
      <c r="C23" s="1433"/>
      <c r="D23" s="1433"/>
      <c r="E23" s="1431">
        <f>[2]rapkvart!S242</f>
        <v>3.8</v>
      </c>
      <c r="F23" s="1431">
        <f>[2]rapkvart!T242</f>
        <v>3.8</v>
      </c>
      <c r="G23" s="1431">
        <f>[2]rapkvart!U242</f>
        <v>3.8</v>
      </c>
      <c r="H23" s="1431">
        <f>[2]rapkvart!V242</f>
        <v>3.8</v>
      </c>
      <c r="I23" s="1431">
        <f>[2]rapkvart!O242</f>
        <v>3.8</v>
      </c>
      <c r="J23" s="1431">
        <f>[2]rapkvart!P242</f>
        <v>3.8</v>
      </c>
      <c r="K23" s="1431">
        <f>[2]rapkvart!Q242</f>
        <v>3.8</v>
      </c>
      <c r="L23" s="1431">
        <f>[2]rapkvart!R242</f>
        <v>4.4000000000000004</v>
      </c>
      <c r="M23" s="1431">
        <f>[2]rapkvart!K242</f>
        <v>4.4000000000000004</v>
      </c>
      <c r="N23" s="1431">
        <f>[2]rapkvart!L242</f>
        <v>4.4000000000000004</v>
      </c>
      <c r="O23" s="1431">
        <f>[2]rapkvart!M242</f>
        <v>3.8</v>
      </c>
      <c r="P23" s="1431">
        <f>[2]rapkvart!N242</f>
        <v>4.4000000000000004</v>
      </c>
      <c r="R23" s="472" t="str">
        <f>+[2]rapkvart!B242</f>
        <v>Uppskjutna skatteskulder</v>
      </c>
      <c r="S23" s="473"/>
      <c r="T23" s="1346">
        <f t="shared" si="20"/>
        <v>4.4000000000000004</v>
      </c>
      <c r="U23" s="1251">
        <f t="shared" si="21"/>
        <v>3.8</v>
      </c>
      <c r="V23" s="1562">
        <f t="shared" si="22"/>
        <v>4.4000000000000004</v>
      </c>
      <c r="Y23" s="1593" t="str">
        <f>+[2]rapkvart!A242</f>
        <v>Provisions for taxes</v>
      </c>
      <c r="Z23" s="473"/>
      <c r="AA23" s="1346">
        <f t="shared" si="19"/>
        <v>4.4000000000000004</v>
      </c>
      <c r="AB23" s="1251">
        <f t="shared" si="19"/>
        <v>3.8</v>
      </c>
      <c r="AC23" s="1562">
        <f t="shared" si="19"/>
        <v>4.4000000000000004</v>
      </c>
    </row>
    <row r="24" spans="2:29" x14ac:dyDescent="0.15">
      <c r="B24" s="1433" t="str">
        <f>[2]rapkvart!B243</f>
        <v>Långfristiga skulder</v>
      </c>
      <c r="C24" s="1433"/>
      <c r="D24" s="1433"/>
      <c r="E24" s="1431">
        <f>[2]rapkvart!S243</f>
        <v>0</v>
      </c>
      <c r="F24" s="1431">
        <f>[2]rapkvart!T243</f>
        <v>0</v>
      </c>
      <c r="G24" s="1431">
        <f>[2]rapkvart!U243</f>
        <v>0</v>
      </c>
      <c r="H24" s="1431">
        <f>[2]rapkvart!V243</f>
        <v>0</v>
      </c>
      <c r="I24" s="1431">
        <f>[2]rapkvart!O243</f>
        <v>0</v>
      </c>
      <c r="J24" s="1431">
        <f>[2]rapkvart!P243</f>
        <v>0</v>
      </c>
      <c r="K24" s="1431">
        <f>[2]rapkvart!Q243</f>
        <v>0</v>
      </c>
      <c r="L24" s="1431">
        <f>[2]rapkvart!R243</f>
        <v>0</v>
      </c>
      <c r="M24" s="1431">
        <f>[2]rapkvart!K243</f>
        <v>0</v>
      </c>
      <c r="N24" s="1431">
        <f>[2]rapkvart!L243</f>
        <v>0</v>
      </c>
      <c r="O24" s="1431">
        <f>[2]rapkvart!M243</f>
        <v>0</v>
      </c>
      <c r="P24" s="1431">
        <f>[2]rapkvart!N243</f>
        <v>0</v>
      </c>
      <c r="R24" s="1737" t="str">
        <f>+[2]rapkvart!B243</f>
        <v>Långfristiga skulder</v>
      </c>
      <c r="T24" s="1647">
        <f t="shared" si="20"/>
        <v>0</v>
      </c>
      <c r="U24" s="1738">
        <f t="shared" si="21"/>
        <v>0</v>
      </c>
      <c r="V24" s="1739">
        <f t="shared" si="22"/>
        <v>0</v>
      </c>
      <c r="Y24" s="2237" t="str">
        <f>+[2]rapkvart!A243</f>
        <v>Long-term liabilities</v>
      </c>
      <c r="AA24" s="1647">
        <f t="shared" si="19"/>
        <v>0</v>
      </c>
      <c r="AB24" s="1252">
        <f t="shared" si="19"/>
        <v>0</v>
      </c>
      <c r="AC24" s="1252">
        <f t="shared" si="19"/>
        <v>0</v>
      </c>
    </row>
    <row r="25" spans="2:29" ht="9.75" thickBot="1" x14ac:dyDescent="0.2">
      <c r="B25" s="1436" t="str">
        <f>[2]rapkvart!B244</f>
        <v>Kortfristiga skulder</v>
      </c>
      <c r="C25" s="1436"/>
      <c r="D25" s="1436"/>
      <c r="E25" s="1432">
        <f>[2]rapkvart!S244</f>
        <v>11.6</v>
      </c>
      <c r="F25" s="1432">
        <f>[2]rapkvart!T244</f>
        <v>11.7</v>
      </c>
      <c r="G25" s="1432">
        <f>[2]rapkvart!U244</f>
        <v>12.8</v>
      </c>
      <c r="H25" s="1432">
        <f>[2]rapkvart!V244</f>
        <v>15.1</v>
      </c>
      <c r="I25" s="1432">
        <f>[2]rapkvart!O244</f>
        <v>6.2</v>
      </c>
      <c r="J25" s="1432">
        <f>[2]rapkvart!P244</f>
        <v>5.6</v>
      </c>
      <c r="K25" s="1432">
        <f>[2]rapkvart!Q244</f>
        <v>7.9</v>
      </c>
      <c r="L25" s="1432">
        <f>[2]rapkvart!R244</f>
        <v>9.3000000000000007</v>
      </c>
      <c r="M25" s="1432">
        <f>[2]rapkvart!K244</f>
        <v>4.5</v>
      </c>
      <c r="N25" s="1432">
        <f>[2]rapkvart!L244</f>
        <v>5.4</v>
      </c>
      <c r="O25" s="1432">
        <f>[2]rapkvart!M244</f>
        <v>7.9</v>
      </c>
      <c r="P25" s="1432">
        <f>[2]rapkvart!N244</f>
        <v>9.3000000000000007</v>
      </c>
      <c r="R25" s="785" t="str">
        <f>+[2]rapkvart!B244</f>
        <v>Kortfristiga skulder</v>
      </c>
      <c r="S25" s="1726"/>
      <c r="T25" s="1727">
        <f t="shared" si="20"/>
        <v>5.4</v>
      </c>
      <c r="U25" s="1260">
        <f t="shared" si="21"/>
        <v>5.6</v>
      </c>
      <c r="V25" s="1728">
        <f t="shared" si="22"/>
        <v>9.3000000000000007</v>
      </c>
      <c r="Y25" s="2243" t="str">
        <f>+[2]rapkvart!A244</f>
        <v>Current liabilities</v>
      </c>
      <c r="Z25" s="1726"/>
      <c r="AA25" s="1727">
        <f t="shared" si="19"/>
        <v>5.4</v>
      </c>
      <c r="AB25" s="1260">
        <f t="shared" si="19"/>
        <v>5.6</v>
      </c>
      <c r="AC25" s="1260">
        <f t="shared" si="19"/>
        <v>9.3000000000000007</v>
      </c>
    </row>
    <row r="26" spans="2:29" x14ac:dyDescent="0.15">
      <c r="B26" s="1408" t="str">
        <f>[2]rapkvart!B245</f>
        <v>Summa eget kapital och skulder</v>
      </c>
      <c r="C26" s="1408"/>
      <c r="D26" s="1408"/>
      <c r="E26" s="1429">
        <f>[2]rapkvart!S245</f>
        <v>350.70000000000005</v>
      </c>
      <c r="F26" s="1429">
        <f>[2]rapkvart!T245</f>
        <v>319.60000000000002</v>
      </c>
      <c r="G26" s="1429">
        <f>[2]rapkvart!U245</f>
        <v>343.40000000000003</v>
      </c>
      <c r="H26" s="1429">
        <f>[2]rapkvart!V245</f>
        <v>416.00000000000006</v>
      </c>
      <c r="I26" s="1429">
        <f>[2]rapkvart!O245</f>
        <v>425.79999999999995</v>
      </c>
      <c r="J26" s="1429">
        <f>[2]rapkvart!P245</f>
        <v>394.50000000000006</v>
      </c>
      <c r="K26" s="1429">
        <f>[2]rapkvart!Q245</f>
        <v>403.49999999999994</v>
      </c>
      <c r="L26" s="1429">
        <f>[2]rapkvart!R245</f>
        <v>444</v>
      </c>
      <c r="M26" s="1429">
        <f>[2]rapkvart!K245</f>
        <v>445.4</v>
      </c>
      <c r="N26" s="1429">
        <f>[2]rapkvart!L245</f>
        <v>473.09999999999997</v>
      </c>
      <c r="O26" s="1429">
        <f>[2]rapkvart!M245</f>
        <v>403.49999999999994</v>
      </c>
      <c r="P26" s="1429">
        <f>[2]rapkvart!N245</f>
        <v>444</v>
      </c>
      <c r="R26" s="257" t="str">
        <f>+[2]rapkvart!B245</f>
        <v>Summa eget kapital och skulder</v>
      </c>
      <c r="S26" s="258"/>
      <c r="T26" s="1254">
        <f t="shared" si="20"/>
        <v>473.09999999999997</v>
      </c>
      <c r="U26" s="960">
        <f t="shared" si="21"/>
        <v>394.50000000000006</v>
      </c>
      <c r="V26" s="1563">
        <f t="shared" si="22"/>
        <v>444</v>
      </c>
      <c r="Y26" s="2236" t="str">
        <f>+[2]rapkvart!A245</f>
        <v>Total equity and liabilities</v>
      </c>
      <c r="Z26" s="258"/>
      <c r="AA26" s="1254">
        <f t="shared" si="19"/>
        <v>473.09999999999997</v>
      </c>
      <c r="AB26" s="960">
        <f t="shared" si="19"/>
        <v>394.50000000000006</v>
      </c>
      <c r="AC26" s="1563">
        <f t="shared" si="19"/>
        <v>444</v>
      </c>
    </row>
    <row r="27" spans="2:29" x14ac:dyDescent="0.15">
      <c r="V27" s="390"/>
      <c r="Y27" s="1720"/>
    </row>
    <row r="28" spans="2:29" x14ac:dyDescent="0.15">
      <c r="Y28" s="1720"/>
    </row>
    <row r="29" spans="2:29" x14ac:dyDescent="0.15">
      <c r="B29" s="1935" t="s">
        <v>857</v>
      </c>
      <c r="C29" s="1935"/>
      <c r="D29" s="1001"/>
      <c r="E29" s="1001">
        <f t="shared" ref="E29:P29" si="23">E26-E18</f>
        <v>0</v>
      </c>
      <c r="F29" s="1001">
        <f t="shared" si="23"/>
        <v>0</v>
      </c>
      <c r="G29" s="1001">
        <f t="shared" si="23"/>
        <v>0</v>
      </c>
      <c r="H29" s="1001">
        <f t="shared" si="23"/>
        <v>0</v>
      </c>
      <c r="I29" s="1001">
        <f t="shared" si="23"/>
        <v>0</v>
      </c>
      <c r="J29" s="1001">
        <f t="shared" si="23"/>
        <v>0</v>
      </c>
      <c r="K29" s="1001">
        <f t="shared" si="23"/>
        <v>0</v>
      </c>
      <c r="L29" s="1001">
        <f t="shared" si="23"/>
        <v>0</v>
      </c>
      <c r="M29" s="1001">
        <f t="shared" si="23"/>
        <v>0</v>
      </c>
      <c r="N29" s="1001">
        <f t="shared" si="23"/>
        <v>0</v>
      </c>
      <c r="O29" s="1001">
        <f t="shared" si="23"/>
        <v>0</v>
      </c>
      <c r="P29" s="1001">
        <f t="shared" si="23"/>
        <v>0</v>
      </c>
      <c r="R29" s="1935" t="s">
        <v>857</v>
      </c>
      <c r="S29" s="1935"/>
      <c r="T29" s="1001">
        <f>T26-T18</f>
        <v>0</v>
      </c>
      <c r="U29" s="1001">
        <f>U26-U18</f>
        <v>0</v>
      </c>
      <c r="V29" s="1001">
        <f>V26-V18</f>
        <v>0</v>
      </c>
      <c r="Y29" s="1941" t="s">
        <v>857</v>
      </c>
      <c r="Z29" s="1935"/>
      <c r="AA29" s="1001">
        <f>AA26-AA18</f>
        <v>0</v>
      </c>
      <c r="AB29" s="1001">
        <f>AB26-AB18</f>
        <v>0</v>
      </c>
      <c r="AC29" s="1001">
        <f>AC26-AC18</f>
        <v>0</v>
      </c>
    </row>
    <row r="30" spans="2:29" x14ac:dyDescent="0.15">
      <c r="B30" s="1935" t="s">
        <v>487</v>
      </c>
      <c r="C30" s="1935"/>
      <c r="D30" s="1001"/>
      <c r="E30" s="1001">
        <f t="shared" ref="E30:P30" si="24">SUM(E10:E11,E15:E16)-E18</f>
        <v>0</v>
      </c>
      <c r="F30" s="1001">
        <f t="shared" si="24"/>
        <v>0</v>
      </c>
      <c r="G30" s="1001">
        <f t="shared" si="24"/>
        <v>0</v>
      </c>
      <c r="H30" s="1001">
        <f t="shared" si="24"/>
        <v>0</v>
      </c>
      <c r="I30" s="1001">
        <f t="shared" si="24"/>
        <v>0</v>
      </c>
      <c r="J30" s="1001">
        <f t="shared" si="24"/>
        <v>0</v>
      </c>
      <c r="K30" s="1001">
        <f t="shared" si="24"/>
        <v>0</v>
      </c>
      <c r="L30" s="1001">
        <f t="shared" si="24"/>
        <v>0</v>
      </c>
      <c r="M30" s="1001">
        <f t="shared" si="24"/>
        <v>0</v>
      </c>
      <c r="N30" s="1001">
        <f t="shared" si="24"/>
        <v>0</v>
      </c>
      <c r="O30" s="1001">
        <f t="shared" si="24"/>
        <v>0</v>
      </c>
      <c r="P30" s="1001">
        <f t="shared" si="24"/>
        <v>0</v>
      </c>
      <c r="R30" s="1935" t="s">
        <v>487</v>
      </c>
      <c r="S30" s="1935"/>
      <c r="T30" s="1001">
        <f>SUM(T10:T11,T15:T16)-T18</f>
        <v>0</v>
      </c>
      <c r="U30" s="1001">
        <f>SUM(U10:U11,U15:U16)-U18</f>
        <v>0</v>
      </c>
      <c r="V30" s="1001">
        <f>SUM(V10:V11,V15:V16)-V18</f>
        <v>0</v>
      </c>
      <c r="Y30" s="1941" t="s">
        <v>487</v>
      </c>
      <c r="Z30" s="1935"/>
      <c r="AA30" s="1001">
        <f>SUM(AA10:AA11,AA15:AA16)-AA18</f>
        <v>0</v>
      </c>
      <c r="AB30" s="1001">
        <f>SUM(AB10:AB11,AB15:AB16)-AB18</f>
        <v>0</v>
      </c>
      <c r="AC30" s="1001">
        <f>SUM(AC10:AC11,AC15:AC16)-AC18</f>
        <v>0</v>
      </c>
    </row>
    <row r="31" spans="2:29" x14ac:dyDescent="0.15">
      <c r="B31" s="1935" t="s">
        <v>488</v>
      </c>
      <c r="C31" s="1935"/>
      <c r="D31" s="1001"/>
      <c r="E31" s="1001">
        <f t="shared" ref="E31:P31" si="25">SUM(E21:E25)-E26</f>
        <v>0</v>
      </c>
      <c r="F31" s="1001">
        <f t="shared" si="25"/>
        <v>0</v>
      </c>
      <c r="G31" s="1001">
        <f t="shared" si="25"/>
        <v>0</v>
      </c>
      <c r="H31" s="1001">
        <f t="shared" si="25"/>
        <v>0</v>
      </c>
      <c r="I31" s="1001">
        <f t="shared" si="25"/>
        <v>0</v>
      </c>
      <c r="J31" s="1001">
        <f t="shared" si="25"/>
        <v>0</v>
      </c>
      <c r="K31" s="1001">
        <f t="shared" si="25"/>
        <v>0</v>
      </c>
      <c r="L31" s="1001">
        <f t="shared" si="25"/>
        <v>0</v>
      </c>
      <c r="M31" s="1001">
        <f t="shared" si="25"/>
        <v>0</v>
      </c>
      <c r="N31" s="1001">
        <f t="shared" si="25"/>
        <v>0</v>
      </c>
      <c r="O31" s="1001">
        <f t="shared" si="25"/>
        <v>0</v>
      </c>
      <c r="P31" s="1001">
        <f t="shared" si="25"/>
        <v>0</v>
      </c>
      <c r="R31" s="1935" t="s">
        <v>488</v>
      </c>
      <c r="S31" s="1935"/>
      <c r="T31" s="1001">
        <f>SUM(T21:T25)-T26</f>
        <v>0</v>
      </c>
      <c r="U31" s="1001">
        <f>SUM(U21:U25)-U26</f>
        <v>0</v>
      </c>
      <c r="V31" s="1001">
        <f>SUM(V21:V25)-V26</f>
        <v>0</v>
      </c>
      <c r="Y31" s="1941" t="s">
        <v>488</v>
      </c>
      <c r="Z31" s="1935"/>
      <c r="AA31" s="1001">
        <f>SUM(AA21:AA25)-AA26</f>
        <v>0</v>
      </c>
      <c r="AB31" s="1001">
        <f>SUM(AB21:AB25)-AB26</f>
        <v>0</v>
      </c>
      <c r="AC31" s="1001">
        <f>SUM(AC21:AC25)-AC26</f>
        <v>0</v>
      </c>
    </row>
    <row r="32" spans="2:29" x14ac:dyDescent="0.15">
      <c r="T32" s="478"/>
      <c r="Y32" s="1720"/>
    </row>
    <row r="33" spans="20:25" x14ac:dyDescent="0.15">
      <c r="T33" s="478"/>
      <c r="Y33" s="1720"/>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B234F-7085-4B3C-88E6-177B67CCE62D}">
  <sheetPr>
    <tabColor theme="8"/>
  </sheetPr>
  <dimension ref="B1:AR23"/>
  <sheetViews>
    <sheetView workbookViewId="0"/>
    <sheetView workbookViewId="1"/>
  </sheetViews>
  <sheetFormatPr defaultColWidth="9.140625" defaultRowHeight="9" outlineLevelCol="1" x14ac:dyDescent="0.15"/>
  <cols>
    <col min="1" max="1" width="3.42578125" style="259" customWidth="1"/>
    <col min="2" max="2" width="9.28515625" style="259" customWidth="1"/>
    <col min="3" max="3" width="9.85546875" style="259" customWidth="1"/>
    <col min="4" max="11" width="5.28515625" style="390" customWidth="1"/>
    <col min="12" max="15" width="5.28515625" style="259" customWidth="1"/>
    <col min="16" max="16" width="2.140625" style="259" customWidth="1"/>
    <col min="17" max="28" width="5.5703125" style="259" customWidth="1"/>
    <col min="29" max="29" width="9.140625" style="259"/>
    <col min="30" max="30" width="20.140625" style="259" customWidth="1"/>
    <col min="31" max="32" width="9.28515625" style="259" customWidth="1"/>
    <col min="33" max="34" width="9.28515625" style="259" customWidth="1" outlineLevel="1"/>
    <col min="35" max="36" width="9.28515625" style="259" customWidth="1"/>
    <col min="37" max="37" width="4.140625" style="259" customWidth="1"/>
    <col min="38" max="38" width="21.7109375" style="259" customWidth="1"/>
    <col min="39" max="40" width="9.28515625" style="259" customWidth="1"/>
    <col min="41" max="42" width="9.28515625" style="259" customWidth="1" outlineLevel="1"/>
    <col min="43" max="44" width="9.28515625" style="259" customWidth="1"/>
    <col min="45" max="16384" width="9.140625" style="259"/>
  </cols>
  <sheetData>
    <row r="1" spans="2:44" x14ac:dyDescent="0.15">
      <c r="B1" s="1930"/>
      <c r="C1" s="1930"/>
      <c r="D1" s="1931"/>
      <c r="E1" s="1931"/>
      <c r="F1" s="1931"/>
      <c r="G1" s="1931"/>
      <c r="H1" s="1931"/>
      <c r="I1" s="1931"/>
      <c r="J1" s="1931"/>
      <c r="K1" s="1931"/>
      <c r="L1" s="1930"/>
      <c r="M1" s="1930"/>
      <c r="N1" s="1930"/>
      <c r="O1" s="1930"/>
      <c r="P1" s="1930"/>
      <c r="Q1" s="1930"/>
      <c r="R1" s="1930"/>
      <c r="S1" s="1930"/>
      <c r="T1" s="1930"/>
      <c r="U1" s="1930"/>
      <c r="V1" s="1930"/>
      <c r="W1" s="1930"/>
      <c r="X1" s="1930"/>
      <c r="Y1" s="1930"/>
      <c r="Z1" s="1930"/>
      <c r="AA1" s="1930"/>
      <c r="AB1" s="1930"/>
      <c r="AD1" s="1930"/>
      <c r="AE1" s="1930"/>
      <c r="AF1" s="1930"/>
      <c r="AG1" s="1930"/>
      <c r="AH1" s="1930"/>
      <c r="AI1" s="1930"/>
      <c r="AJ1" s="1930"/>
      <c r="AL1" s="1930"/>
      <c r="AM1" s="1930"/>
      <c r="AN1" s="1930"/>
      <c r="AO1" s="1930"/>
      <c r="AP1" s="1930"/>
      <c r="AQ1" s="1930"/>
      <c r="AR1" s="1930"/>
    </row>
    <row r="3" spans="2:44" ht="15" x14ac:dyDescent="0.25">
      <c r="B3" s="794" t="s">
        <v>687</v>
      </c>
      <c r="C3" s="794"/>
      <c r="D3" s="1412"/>
      <c r="E3" s="1412"/>
      <c r="F3" s="1412"/>
      <c r="G3" s="1412"/>
      <c r="H3" s="1412"/>
      <c r="I3" s="1412"/>
      <c r="J3" s="1412"/>
      <c r="K3" s="1412"/>
      <c r="L3" s="271"/>
      <c r="M3" s="271"/>
      <c r="N3" s="271"/>
      <c r="O3" s="271"/>
      <c r="P3" s="271"/>
      <c r="Q3" s="271"/>
      <c r="R3" s="271"/>
      <c r="S3" s="271"/>
      <c r="T3" s="271"/>
      <c r="U3" s="271"/>
      <c r="V3" s="271"/>
      <c r="W3" s="271"/>
      <c r="X3" s="271"/>
      <c r="Y3" s="271"/>
      <c r="Z3" s="271"/>
      <c r="AA3" s="271"/>
      <c r="AB3" s="271"/>
      <c r="AD3" s="794" t="s">
        <v>688</v>
      </c>
      <c r="AE3" s="271"/>
      <c r="AF3" s="271"/>
      <c r="AG3" s="271"/>
      <c r="AH3" s="271"/>
      <c r="AI3" s="271"/>
      <c r="AJ3" s="271"/>
      <c r="AL3" s="794" t="s">
        <v>689</v>
      </c>
      <c r="AM3" s="271"/>
      <c r="AN3" s="271"/>
      <c r="AO3" s="271"/>
      <c r="AP3" s="271"/>
      <c r="AQ3" s="271"/>
      <c r="AR3" s="271"/>
    </row>
    <row r="6" spans="2:44" ht="11.25" customHeight="1" x14ac:dyDescent="0.15">
      <c r="B6" s="262" t="s">
        <v>709</v>
      </c>
      <c r="C6" s="262"/>
      <c r="D6" s="1413"/>
      <c r="E6" s="1413"/>
      <c r="F6" s="1413"/>
      <c r="G6" s="1413"/>
      <c r="H6" s="1413"/>
      <c r="I6" s="1413"/>
      <c r="J6" s="1413"/>
      <c r="K6" s="1413"/>
      <c r="L6" s="1413"/>
      <c r="M6" s="1413"/>
      <c r="N6" s="1413"/>
      <c r="O6" s="1413"/>
      <c r="Q6" s="1413"/>
      <c r="R6" s="1413"/>
      <c r="S6" s="1413"/>
      <c r="T6" s="1413"/>
      <c r="U6" s="1413"/>
      <c r="V6" s="1413"/>
      <c r="W6" s="1413"/>
      <c r="X6" s="1413"/>
      <c r="Y6" s="1413"/>
      <c r="Z6" s="1413"/>
      <c r="AA6" s="1413"/>
      <c r="AB6" s="1413"/>
      <c r="AD6" s="262" t="str">
        <f>+[2]rapkvart!$B$247</f>
        <v>Not 2 - Intäkter per marknad</v>
      </c>
      <c r="AE6" s="272"/>
      <c r="AF6" s="272"/>
      <c r="AG6" s="272"/>
      <c r="AH6" s="272"/>
      <c r="AI6" s="272"/>
      <c r="AJ6" s="272"/>
      <c r="AL6" s="262" t="str">
        <f>+[2]rapkvart!$A$247</f>
        <v>Note 2 - Revenue by market</v>
      </c>
      <c r="AM6" s="272"/>
      <c r="AN6" s="272"/>
      <c r="AO6" s="272"/>
      <c r="AP6" s="272"/>
      <c r="AQ6" s="272"/>
      <c r="AR6" s="272"/>
    </row>
    <row r="7" spans="2:44" ht="11.25" customHeight="1" x14ac:dyDescent="0.15">
      <c r="B7" s="260"/>
      <c r="C7" s="260"/>
      <c r="D7" s="261" t="s">
        <v>159</v>
      </c>
      <c r="E7" s="261" t="s">
        <v>159</v>
      </c>
      <c r="F7" s="261" t="s">
        <v>159</v>
      </c>
      <c r="G7" s="261" t="s">
        <v>159</v>
      </c>
      <c r="H7" s="261" t="s">
        <v>159</v>
      </c>
      <c r="I7" s="261" t="s">
        <v>159</v>
      </c>
      <c r="J7" s="261" t="s">
        <v>159</v>
      </c>
      <c r="K7" s="261" t="s">
        <v>159</v>
      </c>
      <c r="L7" s="261" t="s">
        <v>159</v>
      </c>
      <c r="M7" s="261" t="s">
        <v>159</v>
      </c>
      <c r="N7" s="261" t="s">
        <v>159</v>
      </c>
      <c r="O7" s="261" t="s">
        <v>159</v>
      </c>
      <c r="Q7" s="261" t="s">
        <v>160</v>
      </c>
      <c r="R7" s="261" t="s">
        <v>160</v>
      </c>
      <c r="S7" s="261" t="s">
        <v>160</v>
      </c>
      <c r="T7" s="261" t="s">
        <v>160</v>
      </c>
      <c r="U7" s="261" t="s">
        <v>160</v>
      </c>
      <c r="V7" s="261" t="s">
        <v>160</v>
      </c>
      <c r="W7" s="261" t="s">
        <v>160</v>
      </c>
      <c r="X7" s="261" t="s">
        <v>160</v>
      </c>
      <c r="Y7" s="261" t="s">
        <v>160</v>
      </c>
      <c r="Z7" s="261" t="s">
        <v>160</v>
      </c>
      <c r="AA7" s="261" t="s">
        <v>160</v>
      </c>
      <c r="AB7" s="261" t="s">
        <v>160</v>
      </c>
      <c r="AD7" s="260"/>
      <c r="AE7" s="261" t="str">
        <f>+[2]rapkvart!D248</f>
        <v>Kvartal 2</v>
      </c>
      <c r="AF7" s="261" t="str">
        <f>+[2]rapkvart!E248</f>
        <v>Kvartal 2</v>
      </c>
      <c r="AG7" s="261" t="str">
        <f>+[2]rapkvart!F248</f>
        <v>Kvartal 1-2</v>
      </c>
      <c r="AH7" s="261" t="str">
        <f>+[2]rapkvart!G248</f>
        <v>Kvartal 1-2</v>
      </c>
      <c r="AI7" s="261" t="s">
        <v>199</v>
      </c>
      <c r="AJ7" s="261" t="s">
        <v>32</v>
      </c>
      <c r="AL7" s="260"/>
      <c r="AM7" s="261" t="s">
        <v>200</v>
      </c>
      <c r="AN7" s="261" t="s">
        <v>200</v>
      </c>
      <c r="AO7" s="261" t="s">
        <v>201</v>
      </c>
      <c r="AP7" s="261" t="s">
        <v>201</v>
      </c>
      <c r="AQ7" s="261" t="s">
        <v>202</v>
      </c>
      <c r="AR7" s="261" t="s">
        <v>203</v>
      </c>
    </row>
    <row r="8" spans="2:44" ht="9" customHeight="1" x14ac:dyDescent="0.15">
      <c r="B8" s="273" t="s">
        <v>221</v>
      </c>
      <c r="C8" s="273"/>
      <c r="D8" s="275">
        <v>2403</v>
      </c>
      <c r="E8" s="275">
        <f>D8+3</f>
        <v>2406</v>
      </c>
      <c r="F8" s="275">
        <f t="shared" ref="F8:G8" si="0">E8+3</f>
        <v>2409</v>
      </c>
      <c r="G8" s="275">
        <f t="shared" si="0"/>
        <v>2412</v>
      </c>
      <c r="H8" s="275">
        <f>D8+100</f>
        <v>2503</v>
      </c>
      <c r="I8" s="275">
        <f t="shared" ref="I8:O8" si="1">E8+100</f>
        <v>2506</v>
      </c>
      <c r="J8" s="275">
        <f t="shared" si="1"/>
        <v>2509</v>
      </c>
      <c r="K8" s="275">
        <f t="shared" si="1"/>
        <v>2512</v>
      </c>
      <c r="L8" s="275">
        <f t="shared" si="1"/>
        <v>2603</v>
      </c>
      <c r="M8" s="275">
        <f t="shared" si="1"/>
        <v>2606</v>
      </c>
      <c r="N8" s="275">
        <f t="shared" si="1"/>
        <v>2609</v>
      </c>
      <c r="O8" s="275">
        <f t="shared" si="1"/>
        <v>2612</v>
      </c>
      <c r="Q8" s="275">
        <f>D8</f>
        <v>2403</v>
      </c>
      <c r="R8" s="275">
        <f t="shared" ref="R8:AB8" si="2">E8</f>
        <v>2406</v>
      </c>
      <c r="S8" s="275">
        <f t="shared" si="2"/>
        <v>2409</v>
      </c>
      <c r="T8" s="275">
        <f t="shared" si="2"/>
        <v>2412</v>
      </c>
      <c r="U8" s="275">
        <f t="shared" si="2"/>
        <v>2503</v>
      </c>
      <c r="V8" s="275">
        <f t="shared" si="2"/>
        <v>2506</v>
      </c>
      <c r="W8" s="275">
        <f t="shared" si="2"/>
        <v>2509</v>
      </c>
      <c r="X8" s="275">
        <f t="shared" si="2"/>
        <v>2512</v>
      </c>
      <c r="Y8" s="275">
        <f t="shared" si="2"/>
        <v>2603</v>
      </c>
      <c r="Z8" s="275">
        <f t="shared" si="2"/>
        <v>2606</v>
      </c>
      <c r="AA8" s="275">
        <f t="shared" si="2"/>
        <v>2609</v>
      </c>
      <c r="AB8" s="275">
        <f t="shared" si="2"/>
        <v>2612</v>
      </c>
      <c r="AD8" s="273" t="str">
        <f>+[2]rapkvart!B249</f>
        <v>Mkr</v>
      </c>
      <c r="AE8" s="948">
        <f>+[2]rapkvart!D249</f>
        <v>2026</v>
      </c>
      <c r="AF8" s="948">
        <f>+[2]rapkvart!E249</f>
        <v>2025</v>
      </c>
      <c r="AG8" s="948">
        <f>+[2]rapkvart!F249</f>
        <v>2026</v>
      </c>
      <c r="AH8" s="948">
        <f>+[2]rapkvart!G249</f>
        <v>2025</v>
      </c>
      <c r="AI8" s="948">
        <v>2026</v>
      </c>
      <c r="AJ8" s="948">
        <v>2025</v>
      </c>
      <c r="AL8" s="273" t="str">
        <f>+[2]rapkvart!A249</f>
        <v>MSEK</v>
      </c>
      <c r="AM8" s="948">
        <v>2026</v>
      </c>
      <c r="AN8" s="948">
        <v>2025</v>
      </c>
      <c r="AO8" s="948">
        <v>2026</v>
      </c>
      <c r="AP8" s="948">
        <v>2025</v>
      </c>
      <c r="AQ8" s="948">
        <v>2026</v>
      </c>
      <c r="AR8" s="948">
        <v>2025</v>
      </c>
    </row>
    <row r="9" spans="2:44" ht="9" customHeight="1" x14ac:dyDescent="0.15">
      <c r="B9" s="748" t="s">
        <v>710</v>
      </c>
      <c r="C9" s="1402"/>
      <c r="D9" s="1414">
        <f>[2]rapkvart!S250</f>
        <v>255.72800000000001</v>
      </c>
      <c r="E9" s="1414">
        <f>[2]rapkvart!T250</f>
        <v>521.70799999999997</v>
      </c>
      <c r="F9" s="1414">
        <f>[2]rapkvart!U250</f>
        <v>750.3</v>
      </c>
      <c r="G9" s="1414">
        <f>[2]rapkvart!V250</f>
        <v>1007.2</v>
      </c>
      <c r="H9" s="1414">
        <f>[2]rapkvart!O250</f>
        <v>281.42400000000004</v>
      </c>
      <c r="I9" s="1414">
        <f>[2]rapkvart!P250</f>
        <v>577.10399999999993</v>
      </c>
      <c r="J9" s="1414">
        <f>[2]rapkvart!Q250</f>
        <v>834</v>
      </c>
      <c r="K9" s="1414">
        <f>[2]rapkvart!R250</f>
        <v>1039.9000000000001</v>
      </c>
      <c r="L9" s="1414">
        <f>[2]rapkvart!K250</f>
        <v>277.8</v>
      </c>
      <c r="M9" s="1414">
        <f>[2]rapkvart!L250</f>
        <v>580.91999999999996</v>
      </c>
      <c r="N9" s="1414">
        <f>[2]rapkvart!M250</f>
        <v>834</v>
      </c>
      <c r="O9" s="1414">
        <f>[2]rapkvart!N250</f>
        <v>1039.9000000000001</v>
      </c>
      <c r="Q9" s="1414">
        <f>D9</f>
        <v>255.72800000000001</v>
      </c>
      <c r="R9" s="1416">
        <f>E9-D9</f>
        <v>265.97999999999996</v>
      </c>
      <c r="S9" s="1416">
        <f t="shared" ref="S9:T12" si="3">F9-E9</f>
        <v>228.59199999999998</v>
      </c>
      <c r="T9" s="1416">
        <f t="shared" si="3"/>
        <v>256.90000000000009</v>
      </c>
      <c r="U9" s="1414">
        <f>H9</f>
        <v>281.42400000000004</v>
      </c>
      <c r="V9" s="1416">
        <f>I9-H9</f>
        <v>295.67999999999989</v>
      </c>
      <c r="W9" s="1416">
        <f t="shared" ref="W9:W12" si="4">J9-I9</f>
        <v>256.89600000000007</v>
      </c>
      <c r="X9" s="1416">
        <f t="shared" ref="X9:X12" si="5">K9-J9</f>
        <v>205.90000000000009</v>
      </c>
      <c r="Y9" s="1414">
        <f>L9</f>
        <v>277.8</v>
      </c>
      <c r="Z9" s="1416">
        <f>M9-L9</f>
        <v>303.11999999999995</v>
      </c>
      <c r="AA9" s="1416">
        <f t="shared" ref="AA9:AA12" si="6">N9-M9</f>
        <v>253.08000000000004</v>
      </c>
      <c r="AB9" s="1416">
        <f t="shared" ref="AB9:AB12" si="7">O9-N9</f>
        <v>205.90000000000009</v>
      </c>
      <c r="AD9" s="748" t="str">
        <f>+[2]rapkvart!B250</f>
        <v>Sverige</v>
      </c>
      <c r="AE9" s="1597">
        <f>Z9</f>
        <v>303.11999999999995</v>
      </c>
      <c r="AF9" s="1598">
        <f>V9</f>
        <v>295.67999999999989</v>
      </c>
      <c r="AG9" s="1597">
        <f>SUM(Y9:Z9)</f>
        <v>580.91999999999996</v>
      </c>
      <c r="AH9" s="1598">
        <f>SUM(U9:V9)</f>
        <v>577.10399999999993</v>
      </c>
      <c r="AI9" s="1597">
        <f>SUM(W9:Z9)</f>
        <v>1043.7160000000001</v>
      </c>
      <c r="AJ9" s="1598">
        <f>SUM(U9:X9)</f>
        <v>1039.9000000000001</v>
      </c>
      <c r="AL9" s="748" t="s">
        <v>551</v>
      </c>
      <c r="AM9" s="1600">
        <f t="shared" ref="AM9:AR9" si="8">AE9</f>
        <v>303.11999999999995</v>
      </c>
      <c r="AN9" s="1599">
        <f t="shared" si="8"/>
        <v>295.67999999999989</v>
      </c>
      <c r="AO9" s="1600">
        <f t="shared" si="8"/>
        <v>580.91999999999996</v>
      </c>
      <c r="AP9" s="1599">
        <f t="shared" si="8"/>
        <v>577.10399999999993</v>
      </c>
      <c r="AQ9" s="1600">
        <f t="shared" si="8"/>
        <v>1043.7160000000001</v>
      </c>
      <c r="AR9" s="1599">
        <f t="shared" si="8"/>
        <v>1039.9000000000001</v>
      </c>
    </row>
    <row r="10" spans="2:44" x14ac:dyDescent="0.15">
      <c r="B10" s="748" t="s">
        <v>711</v>
      </c>
      <c r="C10" s="1402"/>
      <c r="D10" s="1414">
        <f>[2]rapkvart!S251</f>
        <v>127.864</v>
      </c>
      <c r="E10" s="1414">
        <f>[2]rapkvart!T251</f>
        <v>260.85399999999998</v>
      </c>
      <c r="F10" s="1414">
        <f>[2]rapkvart!U251</f>
        <v>372.7</v>
      </c>
      <c r="G10" s="1414">
        <f>[2]rapkvart!V251</f>
        <v>500.4</v>
      </c>
      <c r="H10" s="1414">
        <f>[2]rapkvart!O251</f>
        <v>140.71200000000002</v>
      </c>
      <c r="I10" s="1414">
        <f>[2]rapkvart!P251</f>
        <v>288.55199999999996</v>
      </c>
      <c r="J10" s="1414">
        <f>[2]rapkvart!Q251</f>
        <v>388.1</v>
      </c>
      <c r="K10" s="1414">
        <f>[2]rapkvart!R251</f>
        <v>475</v>
      </c>
      <c r="L10" s="1414">
        <f>[2]rapkvart!K251</f>
        <v>109.7</v>
      </c>
      <c r="M10" s="1414">
        <f>[2]rapkvart!L251</f>
        <v>235.04</v>
      </c>
      <c r="N10" s="1414">
        <f>[2]rapkvart!M251</f>
        <v>388.1</v>
      </c>
      <c r="O10" s="1414">
        <f>[2]rapkvart!N251</f>
        <v>475</v>
      </c>
      <c r="Q10" s="1414">
        <f t="shared" ref="Q10:Q12" si="9">D10</f>
        <v>127.864</v>
      </c>
      <c r="R10" s="1416">
        <f t="shared" ref="R10:R12" si="10">E10-D10</f>
        <v>132.98999999999998</v>
      </c>
      <c r="S10" s="1416">
        <f t="shared" si="3"/>
        <v>111.846</v>
      </c>
      <c r="T10" s="1416">
        <f t="shared" si="3"/>
        <v>127.69999999999999</v>
      </c>
      <c r="U10" s="1595">
        <f t="shared" ref="U10:U12" si="11">H10</f>
        <v>140.71200000000002</v>
      </c>
      <c r="V10" s="1596">
        <f t="shared" ref="V10:V12" si="12">I10-H10</f>
        <v>147.83999999999995</v>
      </c>
      <c r="W10" s="1596">
        <f t="shared" si="4"/>
        <v>99.548000000000059</v>
      </c>
      <c r="X10" s="1596">
        <f t="shared" si="5"/>
        <v>86.899999999999977</v>
      </c>
      <c r="Y10" s="1595">
        <f t="shared" ref="Y10:Y12" si="13">L10</f>
        <v>109.7</v>
      </c>
      <c r="Z10" s="1596">
        <f t="shared" ref="Z10:Z12" si="14">M10-L10</f>
        <v>125.33999999999999</v>
      </c>
      <c r="AA10" s="1416">
        <f t="shared" si="6"/>
        <v>153.06000000000003</v>
      </c>
      <c r="AB10" s="1416">
        <f t="shared" si="7"/>
        <v>86.899999999999977</v>
      </c>
      <c r="AD10" s="748" t="str">
        <f>+[2]rapkvart!B251</f>
        <v xml:space="preserve">Tyskland </v>
      </c>
      <c r="AE10" s="1597">
        <f t="shared" ref="AE10:AE12" si="15">Z10</f>
        <v>125.33999999999999</v>
      </c>
      <c r="AF10" s="1598">
        <f t="shared" ref="AF10:AF11" si="16">V10</f>
        <v>147.83999999999995</v>
      </c>
      <c r="AG10" s="1597">
        <f>SUM(Y10:Z10)</f>
        <v>235.04</v>
      </c>
      <c r="AH10" s="1598">
        <f t="shared" ref="AH10:AH12" si="17">SUM(U10:V10)</f>
        <v>288.55199999999996</v>
      </c>
      <c r="AI10" s="1597">
        <f>SUM(W10:Z10)</f>
        <v>421.488</v>
      </c>
      <c r="AJ10" s="1598">
        <f>SUM(U10:X10)</f>
        <v>475</v>
      </c>
      <c r="AL10" s="748" t="s">
        <v>552</v>
      </c>
      <c r="AM10" s="1600">
        <f t="shared" ref="AM10:AM12" si="18">AE10</f>
        <v>125.33999999999999</v>
      </c>
      <c r="AN10" s="1599">
        <f t="shared" ref="AN10:AN12" si="19">AF10</f>
        <v>147.83999999999995</v>
      </c>
      <c r="AO10" s="1600">
        <f t="shared" ref="AO10:AO12" si="20">AG10</f>
        <v>235.04</v>
      </c>
      <c r="AP10" s="1599">
        <f t="shared" ref="AP10:AP12" si="21">AH10</f>
        <v>288.55199999999996</v>
      </c>
      <c r="AQ10" s="1600">
        <f t="shared" ref="AQ10:AQ12" si="22">AI10</f>
        <v>421.488</v>
      </c>
      <c r="AR10" s="1599">
        <f t="shared" ref="AR10:AR12" si="23">AJ10</f>
        <v>475</v>
      </c>
    </row>
    <row r="11" spans="2:44" ht="9.75" thickBot="1" x14ac:dyDescent="0.2">
      <c r="B11" s="748" t="s">
        <v>712</v>
      </c>
      <c r="C11" s="1402"/>
      <c r="D11" s="1414">
        <f>[2]rapkvart!S252</f>
        <v>197.60800000000003</v>
      </c>
      <c r="E11" s="1414">
        <f>[2]rapkvart!T252</f>
        <v>403.13800000000003</v>
      </c>
      <c r="F11" s="1414">
        <f>[2]rapkvart!U252</f>
        <v>569.29999999999995</v>
      </c>
      <c r="G11" s="1414">
        <f>[2]rapkvart!V252</f>
        <v>764.2</v>
      </c>
      <c r="H11" s="1414">
        <f>[2]rapkvart!O252</f>
        <v>217.46400000000003</v>
      </c>
      <c r="I11" s="1414">
        <f>[2]rapkvart!P252</f>
        <v>445.94400000000002</v>
      </c>
      <c r="J11" s="1414">
        <f>[2]rapkvart!Q252</f>
        <v>587.30000000000007</v>
      </c>
      <c r="K11" s="1414">
        <f>[2]rapkvart!R252</f>
        <v>814.90000000000009</v>
      </c>
      <c r="L11" s="1414">
        <f>[2]rapkvart!K252</f>
        <v>222.1</v>
      </c>
      <c r="M11" s="1414">
        <f>[2]rapkvart!L252</f>
        <v>478.33300000000003</v>
      </c>
      <c r="N11" s="1414">
        <f>[2]rapkvart!M252</f>
        <v>587.30000000000007</v>
      </c>
      <c r="O11" s="1414">
        <f>[2]rapkvart!N252</f>
        <v>814.90000000000009</v>
      </c>
      <c r="Q11" s="1414">
        <f t="shared" si="9"/>
        <v>197.60800000000003</v>
      </c>
      <c r="R11" s="1416">
        <f t="shared" si="10"/>
        <v>205.53</v>
      </c>
      <c r="S11" s="1416">
        <f t="shared" si="3"/>
        <v>166.16199999999992</v>
      </c>
      <c r="T11" s="1416">
        <f t="shared" si="3"/>
        <v>194.90000000000009</v>
      </c>
      <c r="U11" s="1414">
        <f t="shared" si="11"/>
        <v>217.46400000000003</v>
      </c>
      <c r="V11" s="1416">
        <f t="shared" si="12"/>
        <v>228.48</v>
      </c>
      <c r="W11" s="1416">
        <f t="shared" si="4"/>
        <v>141.35600000000005</v>
      </c>
      <c r="X11" s="1416">
        <f t="shared" si="5"/>
        <v>227.60000000000002</v>
      </c>
      <c r="Y11" s="1414">
        <f t="shared" si="13"/>
        <v>222.1</v>
      </c>
      <c r="Z11" s="1416">
        <f t="shared" si="14"/>
        <v>256.23300000000006</v>
      </c>
      <c r="AA11" s="1416">
        <f t="shared" si="6"/>
        <v>108.96700000000004</v>
      </c>
      <c r="AB11" s="1416">
        <f t="shared" si="7"/>
        <v>227.60000000000002</v>
      </c>
      <c r="AD11" s="1742" t="str">
        <f>+[2]rapkvart!B252</f>
        <v>Övriga</v>
      </c>
      <c r="AE11" s="1743">
        <f t="shared" si="15"/>
        <v>256.23300000000006</v>
      </c>
      <c r="AF11" s="1744">
        <f t="shared" si="16"/>
        <v>228.48</v>
      </c>
      <c r="AG11" s="1743">
        <f t="shared" ref="AG11:AG12" si="24">SUM(Y11:Z11)</f>
        <v>478.33300000000008</v>
      </c>
      <c r="AH11" s="1744">
        <f t="shared" si="17"/>
        <v>445.94400000000002</v>
      </c>
      <c r="AI11" s="1743">
        <f t="shared" ref="AI11:AI12" si="25">SUM(W11:Z11)</f>
        <v>847.2890000000001</v>
      </c>
      <c r="AJ11" s="1744">
        <f t="shared" ref="AJ11:AJ12" si="26">SUM(U11:X11)</f>
        <v>814.90000000000009</v>
      </c>
      <c r="AL11" s="1742" t="s">
        <v>553</v>
      </c>
      <c r="AM11" s="1745">
        <f t="shared" si="18"/>
        <v>256.23300000000006</v>
      </c>
      <c r="AN11" s="1746">
        <f t="shared" si="19"/>
        <v>228.48</v>
      </c>
      <c r="AO11" s="1745">
        <f t="shared" si="20"/>
        <v>478.33300000000008</v>
      </c>
      <c r="AP11" s="1746">
        <f t="shared" si="21"/>
        <v>445.94400000000002</v>
      </c>
      <c r="AQ11" s="1745">
        <f t="shared" si="22"/>
        <v>847.2890000000001</v>
      </c>
      <c r="AR11" s="1746">
        <f t="shared" si="23"/>
        <v>814.90000000000009</v>
      </c>
    </row>
    <row r="12" spans="2:44" x14ac:dyDescent="0.15">
      <c r="B12" s="784" t="s">
        <v>695</v>
      </c>
      <c r="C12" s="1404"/>
      <c r="D12" s="1415">
        <f>[2]rapkvart!S253</f>
        <v>581.20000000000005</v>
      </c>
      <c r="E12" s="1415">
        <f>[2]rapkvart!T253</f>
        <v>1185.6999999999998</v>
      </c>
      <c r="F12" s="1415">
        <f>[2]rapkvart!U253</f>
        <v>1692.3</v>
      </c>
      <c r="G12" s="1415">
        <f>[2]rapkvart!V253</f>
        <v>2271.8000000000002</v>
      </c>
      <c r="H12" s="1415">
        <f>[2]rapkvart!O253</f>
        <v>639.60000000000014</v>
      </c>
      <c r="I12" s="1415">
        <f>[2]rapkvart!P253</f>
        <v>1311.6</v>
      </c>
      <c r="J12" s="1415">
        <f>[2]rapkvart!Q253</f>
        <v>1809.4</v>
      </c>
      <c r="K12" s="1415">
        <f>[2]rapkvart!R253</f>
        <v>2329.8000000000002</v>
      </c>
      <c r="L12" s="1415">
        <f>[2]rapkvart!K253</f>
        <v>609.6</v>
      </c>
      <c r="M12" s="1415">
        <f>[2]rapkvart!L253</f>
        <v>1294.2929999999999</v>
      </c>
      <c r="N12" s="1415">
        <f>[2]rapkvart!M253</f>
        <v>1809.4</v>
      </c>
      <c r="O12" s="1415">
        <f>[2]rapkvart!N253</f>
        <v>2329.8000000000002</v>
      </c>
      <c r="Q12" s="1415">
        <f t="shared" si="9"/>
        <v>581.20000000000005</v>
      </c>
      <c r="R12" s="1417">
        <f t="shared" si="10"/>
        <v>604.49999999999977</v>
      </c>
      <c r="S12" s="1417">
        <f t="shared" si="3"/>
        <v>506.60000000000014</v>
      </c>
      <c r="T12" s="1417">
        <f t="shared" si="3"/>
        <v>579.50000000000023</v>
      </c>
      <c r="U12" s="1415">
        <f t="shared" si="11"/>
        <v>639.60000000000014</v>
      </c>
      <c r="V12" s="1417">
        <f t="shared" si="12"/>
        <v>671.99999999999977</v>
      </c>
      <c r="W12" s="1417">
        <f t="shared" si="4"/>
        <v>497.80000000000018</v>
      </c>
      <c r="X12" s="1417">
        <f t="shared" si="5"/>
        <v>520.40000000000009</v>
      </c>
      <c r="Y12" s="1415">
        <f t="shared" si="13"/>
        <v>609.6</v>
      </c>
      <c r="Z12" s="1417">
        <f t="shared" si="14"/>
        <v>684.69299999999987</v>
      </c>
      <c r="AA12" s="1417">
        <f t="shared" si="6"/>
        <v>515.1070000000002</v>
      </c>
      <c r="AB12" s="1417">
        <f t="shared" si="7"/>
        <v>520.40000000000009</v>
      </c>
      <c r="AD12" s="786" t="str">
        <f>+[2]rapkvart!B253</f>
        <v>Totalt</v>
      </c>
      <c r="AE12" s="232">
        <f t="shared" si="15"/>
        <v>684.69299999999987</v>
      </c>
      <c r="AF12" s="1945">
        <f>V12</f>
        <v>671.99999999999977</v>
      </c>
      <c r="AG12" s="232">
        <f t="shared" si="24"/>
        <v>1294.2929999999999</v>
      </c>
      <c r="AH12" s="1945">
        <f t="shared" si="17"/>
        <v>1311.6</v>
      </c>
      <c r="AI12" s="232">
        <f t="shared" si="25"/>
        <v>2312.4929999999999</v>
      </c>
      <c r="AJ12" s="1945">
        <f t="shared" si="26"/>
        <v>2329.8000000000002</v>
      </c>
      <c r="AL12" s="786" t="s">
        <v>360</v>
      </c>
      <c r="AM12" s="232">
        <f t="shared" si="18"/>
        <v>684.69299999999987</v>
      </c>
      <c r="AN12" s="1945">
        <f t="shared" si="19"/>
        <v>671.99999999999977</v>
      </c>
      <c r="AO12" s="232">
        <f t="shared" si="20"/>
        <v>1294.2929999999999</v>
      </c>
      <c r="AP12" s="1945">
        <f t="shared" si="21"/>
        <v>1311.6</v>
      </c>
      <c r="AQ12" s="232">
        <f t="shared" si="22"/>
        <v>2312.4929999999999</v>
      </c>
      <c r="AR12" s="1945">
        <f t="shared" si="23"/>
        <v>2329.8000000000002</v>
      </c>
    </row>
    <row r="14" spans="2:44" x14ac:dyDescent="0.15">
      <c r="B14" s="1941" t="s">
        <v>181</v>
      </c>
      <c r="C14" s="1941"/>
      <c r="D14" s="1942">
        <f t="shared" ref="D14" si="27">SUM(D9:D11)-D12</f>
        <v>0</v>
      </c>
      <c r="E14" s="1942">
        <f t="shared" ref="E14:O14" si="28">SUM(E9:E11)-E12</f>
        <v>0</v>
      </c>
      <c r="F14" s="1942">
        <f t="shared" si="28"/>
        <v>0</v>
      </c>
      <c r="G14" s="1942">
        <f t="shared" si="28"/>
        <v>0</v>
      </c>
      <c r="H14" s="1942">
        <f t="shared" si="28"/>
        <v>0</v>
      </c>
      <c r="I14" s="1942">
        <f t="shared" si="28"/>
        <v>0</v>
      </c>
      <c r="J14" s="1942">
        <f t="shared" si="28"/>
        <v>0</v>
      </c>
      <c r="K14" s="1942">
        <f t="shared" si="28"/>
        <v>0</v>
      </c>
      <c r="L14" s="1942">
        <f t="shared" si="28"/>
        <v>0</v>
      </c>
      <c r="M14" s="1942">
        <f t="shared" si="28"/>
        <v>0</v>
      </c>
      <c r="N14" s="1942">
        <f t="shared" si="28"/>
        <v>0</v>
      </c>
      <c r="O14" s="1942">
        <f t="shared" si="28"/>
        <v>0</v>
      </c>
      <c r="Q14" s="1942">
        <f>SUM(Q9:Q11)-Q12</f>
        <v>0</v>
      </c>
      <c r="R14" s="1942">
        <f t="shared" ref="R14:AB14" si="29">SUM(R9:R11)-R12</f>
        <v>0</v>
      </c>
      <c r="S14" s="1942">
        <f t="shared" si="29"/>
        <v>0</v>
      </c>
      <c r="T14" s="1942">
        <f t="shared" si="29"/>
        <v>0</v>
      </c>
      <c r="U14" s="1942">
        <f t="shared" si="29"/>
        <v>0</v>
      </c>
      <c r="V14" s="1942">
        <f t="shared" si="29"/>
        <v>0</v>
      </c>
      <c r="W14" s="1942">
        <f t="shared" si="29"/>
        <v>0</v>
      </c>
      <c r="X14" s="1942">
        <f t="shared" si="29"/>
        <v>0</v>
      </c>
      <c r="Y14" s="1942">
        <f t="shared" si="29"/>
        <v>0</v>
      </c>
      <c r="Z14" s="1942">
        <f t="shared" si="29"/>
        <v>0</v>
      </c>
      <c r="AA14" s="1942">
        <f t="shared" si="29"/>
        <v>0</v>
      </c>
      <c r="AB14" s="1942">
        <f t="shared" si="29"/>
        <v>0</v>
      </c>
      <c r="AD14" s="1941" t="s">
        <v>181</v>
      </c>
      <c r="AE14" s="1942">
        <f>SUM(AE9:AE11)-AE12</f>
        <v>0</v>
      </c>
      <c r="AF14" s="1942">
        <f t="shared" ref="AF14:AJ14" si="30">SUM(AF9:AF11)-AF12</f>
        <v>0</v>
      </c>
      <c r="AG14" s="1942">
        <f t="shared" si="30"/>
        <v>0</v>
      </c>
      <c r="AH14" s="1942">
        <f t="shared" si="30"/>
        <v>0</v>
      </c>
      <c r="AI14" s="1942">
        <f t="shared" si="30"/>
        <v>0</v>
      </c>
      <c r="AJ14" s="1942">
        <f t="shared" si="30"/>
        <v>0</v>
      </c>
      <c r="AK14" s="1720"/>
      <c r="AL14" s="1941" t="s">
        <v>181</v>
      </c>
      <c r="AM14" s="1942">
        <f t="shared" ref="AM14:AR14" si="31">SUM(AM9:AM11)-AM12</f>
        <v>0</v>
      </c>
      <c r="AN14" s="1942">
        <f t="shared" si="31"/>
        <v>0</v>
      </c>
      <c r="AO14" s="1942">
        <f t="shared" si="31"/>
        <v>0</v>
      </c>
      <c r="AP14" s="1942">
        <f t="shared" si="31"/>
        <v>0</v>
      </c>
      <c r="AQ14" s="1942">
        <f t="shared" si="31"/>
        <v>0</v>
      </c>
      <c r="AR14" s="1942">
        <f t="shared" si="31"/>
        <v>0</v>
      </c>
    </row>
    <row r="19" spans="30:36" x14ac:dyDescent="0.15">
      <c r="AD19" s="1948"/>
      <c r="AE19" s="1923" t="str">
        <f>'Koncern RR '!AX10</f>
        <v>Kvartal 2</v>
      </c>
      <c r="AF19" s="1923" t="str">
        <f>'Koncern RR '!AY10</f>
        <v>Kvartal 2</v>
      </c>
      <c r="AG19" s="1923" t="str">
        <f>'Koncern RR '!AZ10</f>
        <v>Kvartal 1-2</v>
      </c>
      <c r="AH19" s="1923" t="str">
        <f>'Koncern RR '!BA10</f>
        <v>Kvartal 1-2</v>
      </c>
      <c r="AI19" s="1923" t="str">
        <f>'Koncern RR '!BB10</f>
        <v>Kvartal 2, R12</v>
      </c>
      <c r="AJ19" s="1923" t="str">
        <f>'Koncern RR '!BC10</f>
        <v>Helår</v>
      </c>
    </row>
    <row r="20" spans="30:36" x14ac:dyDescent="0.15">
      <c r="AD20" s="1949"/>
      <c r="AE20" s="1925">
        <f>'Koncern RR '!AX11</f>
        <v>2026</v>
      </c>
      <c r="AF20" s="1925">
        <f>'Koncern RR '!AY11</f>
        <v>2025</v>
      </c>
      <c r="AG20" s="1925">
        <f>'Koncern RR '!AZ11</f>
        <v>2026</v>
      </c>
      <c r="AH20" s="1925">
        <f>'Koncern RR '!BA11</f>
        <v>2025</v>
      </c>
      <c r="AI20" s="1925">
        <f>'Koncern RR '!BB11</f>
        <v>2026</v>
      </c>
      <c r="AJ20" s="1925">
        <f>'Koncern RR '!BC11</f>
        <v>2025</v>
      </c>
    </row>
    <row r="21" spans="30:36" x14ac:dyDescent="0.15">
      <c r="AD21" s="1406" t="s">
        <v>858</v>
      </c>
      <c r="AE21" s="1316">
        <f>'Koncern RR '!AX12</f>
        <v>684.69999999999993</v>
      </c>
      <c r="AF21" s="1316">
        <f>'Koncern RR '!AY12</f>
        <v>671.99999999999989</v>
      </c>
      <c r="AG21" s="1316">
        <f>'Koncern RR '!AZ12</f>
        <v>1294.3</v>
      </c>
      <c r="AH21" s="1316">
        <f>'Koncern RR '!BA12</f>
        <v>1311.6</v>
      </c>
      <c r="AI21" s="1316">
        <f>'Koncern RR '!BB12</f>
        <v>2312.5</v>
      </c>
      <c r="AJ21" s="1316">
        <f>'Koncern RR '!BC12</f>
        <v>2329.8000000000002</v>
      </c>
    </row>
    <row r="23" spans="30:36" x14ac:dyDescent="0.15">
      <c r="AD23" s="1941" t="s">
        <v>188</v>
      </c>
      <c r="AE23" s="1942">
        <f>AE21-AE12</f>
        <v>7.0000000000618456E-3</v>
      </c>
      <c r="AF23" s="1942">
        <f t="shared" ref="AF23:AJ23" si="32">AF21-AF12</f>
        <v>0</v>
      </c>
      <c r="AG23" s="1942">
        <f t="shared" si="32"/>
        <v>7.0000000000618456E-3</v>
      </c>
      <c r="AH23" s="1942">
        <f t="shared" si="32"/>
        <v>0</v>
      </c>
      <c r="AI23" s="1942">
        <f t="shared" si="32"/>
        <v>7.0000000000618456E-3</v>
      </c>
      <c r="AJ23" s="1942">
        <f t="shared" si="32"/>
        <v>0</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B1:AQ22"/>
  <sheetViews>
    <sheetView workbookViewId="0"/>
    <sheetView workbookViewId="1"/>
  </sheetViews>
  <sheetFormatPr defaultColWidth="9.140625" defaultRowHeight="9" outlineLevelCol="2" x14ac:dyDescent="0.15"/>
  <cols>
    <col min="1" max="1" width="5.28515625" style="259" customWidth="1"/>
    <col min="2" max="2" width="23.28515625" style="259" customWidth="1"/>
    <col min="3" max="15" width="5.28515625" style="259" hidden="1" customWidth="1" outlineLevel="2"/>
    <col min="16" max="16" width="4.7109375" style="259" customWidth="1" outlineLevel="1" collapsed="1"/>
    <col min="17" max="19" width="4.7109375" style="259" customWidth="1" outlineLevel="1"/>
    <col min="20" max="22" width="5.28515625" style="259" customWidth="1" outlineLevel="1"/>
    <col min="23" max="24" width="4.7109375" style="259" customWidth="1" outlineLevel="1"/>
    <col min="25" max="25" width="5.42578125" style="259" customWidth="1" outlineLevel="1"/>
    <col min="26" max="27" width="4.7109375" style="259" customWidth="1" outlineLevel="1"/>
    <col min="28" max="28" width="5.28515625" style="259" customWidth="1"/>
    <col min="29" max="29" width="20.140625" style="259" customWidth="1"/>
    <col min="30" max="35" width="9.28515625" style="259" customWidth="1"/>
    <col min="36" max="36" width="5.28515625" style="259" customWidth="1"/>
    <col min="37" max="37" width="21.7109375" style="259" customWidth="1"/>
    <col min="38" max="43" width="9.28515625" style="259" customWidth="1"/>
    <col min="44" max="16384" width="9.140625" style="259"/>
  </cols>
  <sheetData>
    <row r="1" spans="2:43" x14ac:dyDescent="0.15">
      <c r="B1" s="1930"/>
      <c r="C1" s="1930"/>
      <c r="D1" s="1930"/>
      <c r="E1" s="1930"/>
      <c r="F1" s="1930"/>
      <c r="G1" s="1930"/>
      <c r="H1" s="1930"/>
      <c r="I1" s="1930"/>
      <c r="J1" s="1930"/>
      <c r="K1" s="1930"/>
      <c r="L1" s="1930"/>
      <c r="M1" s="1930"/>
      <c r="N1" s="1930"/>
      <c r="O1" s="1930"/>
      <c r="P1" s="1930"/>
      <c r="Q1" s="1930"/>
      <c r="R1" s="1930"/>
      <c r="S1" s="1930"/>
      <c r="T1" s="1930"/>
      <c r="U1" s="1930"/>
      <c r="V1" s="1930"/>
      <c r="W1" s="1930"/>
      <c r="X1" s="1930"/>
      <c r="Y1" s="1930"/>
      <c r="Z1" s="1930"/>
      <c r="AA1" s="1930"/>
      <c r="AC1" s="1930"/>
      <c r="AD1" s="1930"/>
      <c r="AE1" s="1930"/>
      <c r="AF1" s="1930"/>
      <c r="AG1" s="1930"/>
      <c r="AH1" s="1930"/>
      <c r="AI1" s="1930"/>
      <c r="AK1" s="1930"/>
      <c r="AL1" s="1930"/>
      <c r="AM1" s="1930"/>
      <c r="AN1" s="1930"/>
      <c r="AO1" s="1930"/>
      <c r="AP1" s="1930"/>
      <c r="AQ1" s="1930"/>
    </row>
    <row r="3" spans="2:43" ht="15" x14ac:dyDescent="0.25">
      <c r="B3" s="794" t="s">
        <v>687</v>
      </c>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C3" s="794" t="s">
        <v>688</v>
      </c>
      <c r="AD3" s="271"/>
      <c r="AE3" s="271"/>
      <c r="AF3" s="271"/>
      <c r="AG3" s="271"/>
      <c r="AH3" s="271"/>
      <c r="AI3" s="271"/>
      <c r="AK3" s="794" t="s">
        <v>689</v>
      </c>
      <c r="AL3" s="271"/>
      <c r="AM3" s="271"/>
      <c r="AN3" s="271"/>
      <c r="AO3" s="271"/>
      <c r="AP3" s="271"/>
      <c r="AQ3" s="271"/>
    </row>
    <row r="5" spans="2:43" ht="11.25" customHeight="1" x14ac:dyDescent="0.15">
      <c r="B5" s="262" t="s">
        <v>693</v>
      </c>
      <c r="C5" s="477"/>
      <c r="D5" s="477"/>
      <c r="E5" s="477"/>
      <c r="F5" s="477"/>
      <c r="G5" s="477"/>
      <c r="H5" s="477"/>
      <c r="I5" s="477"/>
      <c r="J5" s="477"/>
      <c r="K5" s="477"/>
      <c r="L5" s="477"/>
      <c r="M5" s="477"/>
      <c r="N5" s="477"/>
      <c r="P5" s="477"/>
      <c r="Q5" s="477"/>
      <c r="R5" s="477"/>
      <c r="S5" s="477"/>
      <c r="T5" s="477"/>
      <c r="U5" s="477"/>
      <c r="V5" s="477"/>
      <c r="W5" s="477"/>
      <c r="X5" s="477"/>
      <c r="Y5" s="477"/>
      <c r="Z5" s="477"/>
      <c r="AA5" s="477"/>
      <c r="AC5" s="262" t="str">
        <f>+[2]rapkvart!$B$255</f>
        <v>Not 3 - Av– och nedskrivningar på materiella och immateriella anläggningstillgångar</v>
      </c>
      <c r="AD5" s="272"/>
      <c r="AE5" s="272"/>
      <c r="AF5" s="272"/>
      <c r="AG5" s="272"/>
      <c r="AH5" s="272"/>
      <c r="AI5" s="272"/>
      <c r="AK5" s="262" t="s">
        <v>554</v>
      </c>
      <c r="AL5" s="272"/>
      <c r="AM5" s="272"/>
      <c r="AN5" s="272"/>
      <c r="AO5" s="272"/>
      <c r="AP5" s="272"/>
      <c r="AQ5" s="272"/>
    </row>
    <row r="6" spans="2:43" ht="11.25" customHeight="1" x14ac:dyDescent="0.15">
      <c r="B6" s="260"/>
      <c r="C6" s="261" t="s">
        <v>159</v>
      </c>
      <c r="D6" s="261" t="s">
        <v>159</v>
      </c>
      <c r="E6" s="261" t="s">
        <v>159</v>
      </c>
      <c r="F6" s="261" t="s">
        <v>159</v>
      </c>
      <c r="G6" s="261" t="s">
        <v>159</v>
      </c>
      <c r="H6" s="261" t="s">
        <v>159</v>
      </c>
      <c r="I6" s="261" t="s">
        <v>159</v>
      </c>
      <c r="J6" s="261" t="s">
        <v>159</v>
      </c>
      <c r="K6" s="261" t="s">
        <v>159</v>
      </c>
      <c r="L6" s="261" t="s">
        <v>159</v>
      </c>
      <c r="M6" s="261" t="s">
        <v>159</v>
      </c>
      <c r="N6" s="261" t="s">
        <v>159</v>
      </c>
      <c r="P6" s="261" t="s">
        <v>160</v>
      </c>
      <c r="Q6" s="261" t="s">
        <v>160</v>
      </c>
      <c r="R6" s="261" t="s">
        <v>160</v>
      </c>
      <c r="S6" s="261" t="s">
        <v>160</v>
      </c>
      <c r="T6" s="261" t="s">
        <v>160</v>
      </c>
      <c r="U6" s="261" t="s">
        <v>160</v>
      </c>
      <c r="V6" s="261" t="s">
        <v>160</v>
      </c>
      <c r="W6" s="261" t="s">
        <v>160</v>
      </c>
      <c r="X6" s="261" t="s">
        <v>160</v>
      </c>
      <c r="Y6" s="261" t="s">
        <v>160</v>
      </c>
      <c r="Z6" s="261" t="s">
        <v>160</v>
      </c>
      <c r="AA6" s="261" t="s">
        <v>160</v>
      </c>
      <c r="AC6" s="260"/>
      <c r="AD6" s="261" t="str">
        <f>+[2]rapkvart!D256</f>
        <v>Kvartal 2</v>
      </c>
      <c r="AE6" s="261" t="str">
        <f>+[2]rapkvart!E256</f>
        <v>Kvartal 2</v>
      </c>
      <c r="AF6" s="261" t="s">
        <v>220</v>
      </c>
      <c r="AG6" s="261" t="s">
        <v>220</v>
      </c>
      <c r="AH6" s="261" t="s">
        <v>199</v>
      </c>
      <c r="AI6" s="261" t="s">
        <v>32</v>
      </c>
      <c r="AK6" s="260"/>
      <c r="AL6" s="261" t="s">
        <v>200</v>
      </c>
      <c r="AM6" s="261" t="s">
        <v>200</v>
      </c>
      <c r="AN6" s="261" t="s">
        <v>201</v>
      </c>
      <c r="AO6" s="261" t="s">
        <v>201</v>
      </c>
      <c r="AP6" s="261" t="s">
        <v>202</v>
      </c>
      <c r="AQ6" s="261" t="s">
        <v>203</v>
      </c>
    </row>
    <row r="7" spans="2:43" ht="9" customHeight="1" x14ac:dyDescent="0.15">
      <c r="B7" s="273" t="s">
        <v>221</v>
      </c>
      <c r="C7" s="275">
        <v>2403</v>
      </c>
      <c r="D7" s="275">
        <f>C7+3</f>
        <v>2406</v>
      </c>
      <c r="E7" s="275">
        <f t="shared" ref="E7:F7" si="0">D7+3</f>
        <v>2409</v>
      </c>
      <c r="F7" s="275">
        <f t="shared" si="0"/>
        <v>2412</v>
      </c>
      <c r="G7" s="275">
        <f>C7+100</f>
        <v>2503</v>
      </c>
      <c r="H7" s="275">
        <f t="shared" ref="H7:N7" si="1">D7+100</f>
        <v>2506</v>
      </c>
      <c r="I7" s="275">
        <f t="shared" si="1"/>
        <v>2509</v>
      </c>
      <c r="J7" s="275">
        <f t="shared" si="1"/>
        <v>2512</v>
      </c>
      <c r="K7" s="275">
        <f t="shared" si="1"/>
        <v>2603</v>
      </c>
      <c r="L7" s="275">
        <f t="shared" si="1"/>
        <v>2606</v>
      </c>
      <c r="M7" s="275">
        <f t="shared" si="1"/>
        <v>2609</v>
      </c>
      <c r="N7" s="275">
        <f t="shared" si="1"/>
        <v>2612</v>
      </c>
      <c r="P7" s="275">
        <f>C7</f>
        <v>2403</v>
      </c>
      <c r="Q7" s="275">
        <f t="shared" ref="Q7:AA7" si="2">D7</f>
        <v>2406</v>
      </c>
      <c r="R7" s="275">
        <f t="shared" si="2"/>
        <v>2409</v>
      </c>
      <c r="S7" s="275">
        <f t="shared" si="2"/>
        <v>2412</v>
      </c>
      <c r="T7" s="275">
        <f t="shared" si="2"/>
        <v>2503</v>
      </c>
      <c r="U7" s="275">
        <f t="shared" si="2"/>
        <v>2506</v>
      </c>
      <c r="V7" s="275">
        <f t="shared" si="2"/>
        <v>2509</v>
      </c>
      <c r="W7" s="275">
        <f t="shared" si="2"/>
        <v>2512</v>
      </c>
      <c r="X7" s="275">
        <f t="shared" si="2"/>
        <v>2603</v>
      </c>
      <c r="Y7" s="275">
        <f t="shared" si="2"/>
        <v>2606</v>
      </c>
      <c r="Z7" s="275">
        <f t="shared" si="2"/>
        <v>2609</v>
      </c>
      <c r="AA7" s="275">
        <f t="shared" si="2"/>
        <v>2612</v>
      </c>
      <c r="AC7" s="273" t="str">
        <f>+[2]rapkvart!B257</f>
        <v>Mkr</v>
      </c>
      <c r="AD7" s="948">
        <f>+[2]rapkvart!D257</f>
        <v>2026</v>
      </c>
      <c r="AE7" s="948">
        <f>+[2]rapkvart!E257</f>
        <v>2025</v>
      </c>
      <c r="AF7" s="948">
        <f>+[2]rapkvart!F257</f>
        <v>2026</v>
      </c>
      <c r="AG7" s="948">
        <f>+[2]rapkvart!G257</f>
        <v>2025</v>
      </c>
      <c r="AH7" s="948">
        <f>+[2]rapkvart!F257</f>
        <v>2026</v>
      </c>
      <c r="AI7" s="948">
        <f>+[2]rapkvart!G257</f>
        <v>2025</v>
      </c>
      <c r="AK7" s="273" t="s">
        <v>218</v>
      </c>
      <c r="AL7" s="948">
        <v>2026</v>
      </c>
      <c r="AM7" s="948">
        <v>2025</v>
      </c>
      <c r="AN7" s="948">
        <v>2026</v>
      </c>
      <c r="AO7" s="948">
        <v>2025</v>
      </c>
      <c r="AP7" s="948">
        <v>2026</v>
      </c>
      <c r="AQ7" s="948">
        <v>2025</v>
      </c>
    </row>
    <row r="8" spans="2:43" ht="9" customHeight="1" x14ac:dyDescent="0.15">
      <c r="B8" s="1402" t="s">
        <v>606</v>
      </c>
      <c r="C8" s="1403">
        <f>[2]rapkvart!S258</f>
        <v>1.6</v>
      </c>
      <c r="D8" s="1403">
        <f>[2]rapkvart!T258</f>
        <v>3</v>
      </c>
      <c r="E8" s="1403">
        <f>[2]rapkvart!U258</f>
        <v>3.9</v>
      </c>
      <c r="F8" s="1403">
        <f>[2]rapkvart!V258</f>
        <v>3.9</v>
      </c>
      <c r="G8" s="1403">
        <f>[2]rapkvart!O258</f>
        <v>0</v>
      </c>
      <c r="H8" s="1403">
        <f>[2]rapkvart!P258</f>
        <v>0</v>
      </c>
      <c r="I8" s="1403">
        <f>[2]rapkvart!Q258</f>
        <v>0</v>
      </c>
      <c r="J8" s="1403">
        <f>[2]rapkvart!R258</f>
        <v>0</v>
      </c>
      <c r="K8" s="1403">
        <f>[2]rapkvart!K258</f>
        <v>0</v>
      </c>
      <c r="L8" s="1403">
        <f>[2]rapkvart!L258</f>
        <v>0</v>
      </c>
      <c r="M8" s="1403">
        <f>[2]rapkvart!M258</f>
        <v>0</v>
      </c>
      <c r="N8" s="1403">
        <f>[2]rapkvart!N258</f>
        <v>0</v>
      </c>
      <c r="O8" s="1314"/>
      <c r="P8" s="1313">
        <f>C8</f>
        <v>1.6</v>
      </c>
      <c r="Q8" s="1398">
        <f>D8-C8</f>
        <v>1.4</v>
      </c>
      <c r="R8" s="1398">
        <f>E8-D8</f>
        <v>0.89999999999999991</v>
      </c>
      <c r="S8" s="1398">
        <f>F8-E8</f>
        <v>0</v>
      </c>
      <c r="T8" s="1313">
        <f>G8</f>
        <v>0</v>
      </c>
      <c r="U8" s="1398">
        <f>H8-G8</f>
        <v>0</v>
      </c>
      <c r="V8" s="1398">
        <f t="shared" ref="V8" si="3">I8-H8</f>
        <v>0</v>
      </c>
      <c r="W8" s="1398">
        <f>J8-I8</f>
        <v>0</v>
      </c>
      <c r="X8" s="1313">
        <f>K8</f>
        <v>0</v>
      </c>
      <c r="Y8" s="1398">
        <f>L8-K8</f>
        <v>0</v>
      </c>
      <c r="Z8" s="1398">
        <f>M8-L8</f>
        <v>0</v>
      </c>
      <c r="AA8" s="1398">
        <f t="shared" ref="AA8" si="4">N8-M8</f>
        <v>0</v>
      </c>
      <c r="AC8" s="748" t="str">
        <f>+[2]rapkvart!B258</f>
        <v>Immateriella anläggningstillgångar</v>
      </c>
      <c r="AD8" s="1201">
        <f>Y8</f>
        <v>0</v>
      </c>
      <c r="AE8" s="1202">
        <f>U8</f>
        <v>0</v>
      </c>
      <c r="AF8" s="1201">
        <f>SUM(X8:Y8)</f>
        <v>0</v>
      </c>
      <c r="AG8" s="1202">
        <f>SUM(T8:U8)</f>
        <v>0</v>
      </c>
      <c r="AH8" s="1201">
        <f>SUM(V8:Y8)</f>
        <v>0</v>
      </c>
      <c r="AI8" s="1202">
        <f>SUM(T8:W8)</f>
        <v>0</v>
      </c>
      <c r="AK8" s="748" t="str">
        <f>+[2]rapkvart!$A$258</f>
        <v>Intangible fixed assets</v>
      </c>
      <c r="AL8" s="1201">
        <f t="shared" ref="AL8:AQ8" si="5">AD8</f>
        <v>0</v>
      </c>
      <c r="AM8" s="1202">
        <f t="shared" si="5"/>
        <v>0</v>
      </c>
      <c r="AN8" s="1201">
        <f t="shared" si="5"/>
        <v>0</v>
      </c>
      <c r="AO8" s="1202">
        <f t="shared" si="5"/>
        <v>0</v>
      </c>
      <c r="AP8" s="1201">
        <f t="shared" si="5"/>
        <v>0</v>
      </c>
      <c r="AQ8" s="1202">
        <f t="shared" si="5"/>
        <v>0</v>
      </c>
    </row>
    <row r="9" spans="2:43" x14ac:dyDescent="0.15">
      <c r="B9" s="1402" t="s">
        <v>694</v>
      </c>
      <c r="C9" s="1403">
        <f>[2]rapkvart!S259</f>
        <v>1.6</v>
      </c>
      <c r="D9" s="1403">
        <f>[2]rapkvart!T259</f>
        <v>3.3</v>
      </c>
      <c r="E9" s="1403">
        <f>[2]rapkvart!U259</f>
        <v>5</v>
      </c>
      <c r="F9" s="1403">
        <f>[2]rapkvart!V259</f>
        <v>6.7</v>
      </c>
      <c r="G9" s="1403">
        <f>[2]rapkvart!O259</f>
        <v>1.7</v>
      </c>
      <c r="H9" s="1403">
        <f>[2]rapkvart!P259</f>
        <v>3.3</v>
      </c>
      <c r="I9" s="1403">
        <f>[2]rapkvart!Q259</f>
        <v>5</v>
      </c>
      <c r="J9" s="1403">
        <f>[2]rapkvart!R259</f>
        <v>6.7</v>
      </c>
      <c r="K9" s="1403">
        <f>[2]rapkvart!K259</f>
        <v>1.8</v>
      </c>
      <c r="L9" s="1403">
        <f>[2]rapkvart!L259</f>
        <v>3.7</v>
      </c>
      <c r="M9" s="1403">
        <f>[2]rapkvart!M259</f>
        <v>5</v>
      </c>
      <c r="N9" s="1403">
        <f>[2]rapkvart!N259</f>
        <v>6.7</v>
      </c>
      <c r="O9" s="1314"/>
      <c r="P9" s="1313">
        <f t="shared" ref="P9:P13" si="6">C9</f>
        <v>1.6</v>
      </c>
      <c r="Q9" s="1398">
        <f t="shared" ref="Q9:Q13" si="7">D9-C9</f>
        <v>1.6999999999999997</v>
      </c>
      <c r="R9" s="1398">
        <f t="shared" ref="R9:R13" si="8">E9-D9</f>
        <v>1.7000000000000002</v>
      </c>
      <c r="S9" s="1398">
        <f t="shared" ref="S9:S13" si="9">F9-E9</f>
        <v>1.7000000000000002</v>
      </c>
      <c r="T9" s="1313">
        <f t="shared" ref="T9:T13" si="10">G9</f>
        <v>1.7</v>
      </c>
      <c r="U9" s="1398">
        <f t="shared" ref="U9:U13" si="11">H9-G9</f>
        <v>1.5999999999999999</v>
      </c>
      <c r="V9" s="1398">
        <f t="shared" ref="V9:V13" si="12">I9-H9</f>
        <v>1.7000000000000002</v>
      </c>
      <c r="W9" s="1398">
        <f t="shared" ref="W9:W13" si="13">J9-I9</f>
        <v>1.7000000000000002</v>
      </c>
      <c r="X9" s="1313">
        <f t="shared" ref="X9:X13" si="14">K9</f>
        <v>1.8</v>
      </c>
      <c r="Y9" s="1398">
        <f t="shared" ref="Y9:Y13" si="15">L9-K9</f>
        <v>1.9000000000000001</v>
      </c>
      <c r="Z9" s="1398">
        <f t="shared" ref="Z9:Z13" si="16">M9-L9</f>
        <v>1.2999999999999998</v>
      </c>
      <c r="AA9" s="1398">
        <f t="shared" ref="AA9:AA13" si="17">N9-M9</f>
        <v>1.7000000000000002</v>
      </c>
      <c r="AC9" s="700" t="str">
        <f>+[2]rapkvart!B259</f>
        <v>Byggnader och mark</v>
      </c>
      <c r="AD9" s="1201">
        <f t="shared" ref="AD9:AD13" si="18">Y9</f>
        <v>1.9000000000000001</v>
      </c>
      <c r="AE9" s="1202">
        <f t="shared" ref="AE9:AE13" si="19">U9</f>
        <v>1.5999999999999999</v>
      </c>
      <c r="AF9" s="1201">
        <f t="shared" ref="AF9:AF13" si="20">SUM(X9:Y9)</f>
        <v>3.7</v>
      </c>
      <c r="AG9" s="1202">
        <f t="shared" ref="AG9:AG13" si="21">SUM(T9:U9)</f>
        <v>3.3</v>
      </c>
      <c r="AH9" s="1201">
        <f t="shared" ref="AH9:AH13" si="22">SUM(V9:Y9)</f>
        <v>7.1000000000000005</v>
      </c>
      <c r="AI9" s="1202">
        <f t="shared" ref="AI9:AI13" si="23">SUM(T9:W9)</f>
        <v>6.7</v>
      </c>
      <c r="AK9" s="700" t="str">
        <f>+[2]rapkvart!$A$259</f>
        <v>Land and buildings</v>
      </c>
      <c r="AL9" s="1201">
        <f t="shared" ref="AL9:AL13" si="24">AD9</f>
        <v>1.9000000000000001</v>
      </c>
      <c r="AM9" s="1202">
        <f t="shared" ref="AM9:AM13" si="25">AE9</f>
        <v>1.5999999999999999</v>
      </c>
      <c r="AN9" s="1201">
        <f t="shared" ref="AN9:AN13" si="26">AF9</f>
        <v>3.7</v>
      </c>
      <c r="AO9" s="1202">
        <f t="shared" ref="AO9:AO13" si="27">AG9</f>
        <v>3.3</v>
      </c>
      <c r="AP9" s="1201">
        <f t="shared" ref="AP9:AP13" si="28">AH9</f>
        <v>7.1000000000000005</v>
      </c>
      <c r="AQ9" s="1202">
        <f t="shared" ref="AQ9:AQ13" si="29">AI9</f>
        <v>6.7</v>
      </c>
    </row>
    <row r="10" spans="2:43" x14ac:dyDescent="0.15">
      <c r="B10" s="1402" t="s">
        <v>170</v>
      </c>
      <c r="C10" s="1403">
        <f>[2]rapkvart!S260</f>
        <v>16.3</v>
      </c>
      <c r="D10" s="1403">
        <f>[2]rapkvart!T260</f>
        <v>33.200000000000003</v>
      </c>
      <c r="E10" s="1403">
        <f>[2]rapkvart!U260</f>
        <v>50.3</v>
      </c>
      <c r="F10" s="1403">
        <f>[2]rapkvart!V260</f>
        <v>67.3</v>
      </c>
      <c r="G10" s="1403">
        <f>[2]rapkvart!O260</f>
        <v>16.899999999999999</v>
      </c>
      <c r="H10" s="1403">
        <f>[2]rapkvart!P260</f>
        <v>34.799999999999997</v>
      </c>
      <c r="I10" s="1403">
        <f>[2]rapkvart!Q260</f>
        <v>52</v>
      </c>
      <c r="J10" s="1403">
        <f>[2]rapkvart!R260</f>
        <v>68.599999999999994</v>
      </c>
      <c r="K10" s="1403">
        <f>[2]rapkvart!K260</f>
        <v>16.600000000000001</v>
      </c>
      <c r="L10" s="1403">
        <f>[2]rapkvart!L260</f>
        <v>32.9</v>
      </c>
      <c r="M10" s="1403">
        <f>[2]rapkvart!M260</f>
        <v>52</v>
      </c>
      <c r="N10" s="1403">
        <f>[2]rapkvart!N260</f>
        <v>68.599999999999994</v>
      </c>
      <c r="O10" s="1314"/>
      <c r="P10" s="1313">
        <f t="shared" si="6"/>
        <v>16.3</v>
      </c>
      <c r="Q10" s="1398">
        <f t="shared" si="7"/>
        <v>16.900000000000002</v>
      </c>
      <c r="R10" s="1398">
        <f t="shared" si="8"/>
        <v>17.099999999999994</v>
      </c>
      <c r="S10" s="1398">
        <f t="shared" si="9"/>
        <v>17</v>
      </c>
      <c r="T10" s="1313">
        <f t="shared" si="10"/>
        <v>16.899999999999999</v>
      </c>
      <c r="U10" s="1398">
        <f t="shared" si="11"/>
        <v>17.899999999999999</v>
      </c>
      <c r="V10" s="1398">
        <f t="shared" si="12"/>
        <v>17.200000000000003</v>
      </c>
      <c r="W10" s="1398">
        <f t="shared" si="13"/>
        <v>16.599999999999994</v>
      </c>
      <c r="X10" s="1313">
        <f t="shared" si="14"/>
        <v>16.600000000000001</v>
      </c>
      <c r="Y10" s="1398">
        <f t="shared" si="15"/>
        <v>16.299999999999997</v>
      </c>
      <c r="Z10" s="1398">
        <f t="shared" si="16"/>
        <v>19.100000000000001</v>
      </c>
      <c r="AA10" s="1398">
        <f t="shared" si="17"/>
        <v>16.599999999999994</v>
      </c>
      <c r="AC10" s="259" t="str">
        <f>+[2]rapkvart!B260</f>
        <v>Maskiner och inventarier</v>
      </c>
      <c r="AD10" s="2055">
        <f t="shared" si="18"/>
        <v>16.299999999999997</v>
      </c>
      <c r="AE10" s="2056">
        <f t="shared" si="19"/>
        <v>17.899999999999999</v>
      </c>
      <c r="AF10" s="2055">
        <f t="shared" si="20"/>
        <v>32.9</v>
      </c>
      <c r="AG10" s="2056">
        <f t="shared" si="21"/>
        <v>34.799999999999997</v>
      </c>
      <c r="AH10" s="2055">
        <f t="shared" si="22"/>
        <v>66.699999999999989</v>
      </c>
      <c r="AI10" s="2056">
        <f t="shared" si="23"/>
        <v>68.599999999999994</v>
      </c>
      <c r="AK10" s="700" t="str">
        <f>+[2]rapkvart!$A$260</f>
        <v>Machinery and equipment</v>
      </c>
      <c r="AL10" s="1201">
        <f t="shared" si="24"/>
        <v>16.299999999999997</v>
      </c>
      <c r="AM10" s="1202">
        <f t="shared" si="25"/>
        <v>17.899999999999999</v>
      </c>
      <c r="AN10" s="1201">
        <f t="shared" si="26"/>
        <v>32.9</v>
      </c>
      <c r="AO10" s="1202">
        <f t="shared" si="27"/>
        <v>34.799999999999997</v>
      </c>
      <c r="AP10" s="1201">
        <f t="shared" si="28"/>
        <v>66.699999999999989</v>
      </c>
      <c r="AQ10" s="1202">
        <f t="shared" si="29"/>
        <v>68.599999999999994</v>
      </c>
    </row>
    <row r="11" spans="2:43" ht="9.75" thickBot="1" x14ac:dyDescent="0.2">
      <c r="B11" s="1402" t="s">
        <v>171</v>
      </c>
      <c r="C11" s="1403">
        <f>[2]rapkvart!S261</f>
        <v>3.4</v>
      </c>
      <c r="D11" s="1403">
        <f>[2]rapkvart!T261</f>
        <v>6.9</v>
      </c>
      <c r="E11" s="1403">
        <f>[2]rapkvart!U261</f>
        <v>10.199999999999999</v>
      </c>
      <c r="F11" s="1403">
        <f>[2]rapkvart!V261</f>
        <v>13.5</v>
      </c>
      <c r="G11" s="1403">
        <f>[2]rapkvart!O261</f>
        <v>3.3</v>
      </c>
      <c r="H11" s="1403">
        <f>[2]rapkvart!P261</f>
        <v>6.6</v>
      </c>
      <c r="I11" s="1403">
        <f>[2]rapkvart!Q261</f>
        <v>9.9</v>
      </c>
      <c r="J11" s="1403">
        <f>[2]rapkvart!R261</f>
        <v>13.4</v>
      </c>
      <c r="K11" s="1403">
        <f>[2]rapkvart!K261</f>
        <v>3.6</v>
      </c>
      <c r="L11" s="1403">
        <f>[2]rapkvart!L261</f>
        <v>7.1</v>
      </c>
      <c r="M11" s="1403">
        <f>[2]rapkvart!M261</f>
        <v>9.9</v>
      </c>
      <c r="N11" s="1403">
        <f>[2]rapkvart!N261</f>
        <v>13.4</v>
      </c>
      <c r="O11" s="1314"/>
      <c r="P11" s="1313">
        <f t="shared" si="6"/>
        <v>3.4</v>
      </c>
      <c r="Q11" s="1398">
        <f t="shared" si="7"/>
        <v>3.5000000000000004</v>
      </c>
      <c r="R11" s="1398">
        <f t="shared" si="8"/>
        <v>3.2999999999999989</v>
      </c>
      <c r="S11" s="1398">
        <f t="shared" si="9"/>
        <v>3.3000000000000007</v>
      </c>
      <c r="T11" s="1313">
        <f t="shared" si="10"/>
        <v>3.3</v>
      </c>
      <c r="U11" s="1398">
        <f t="shared" si="11"/>
        <v>3.3</v>
      </c>
      <c r="V11" s="1398">
        <f t="shared" si="12"/>
        <v>3.3000000000000007</v>
      </c>
      <c r="W11" s="1398">
        <f t="shared" si="13"/>
        <v>3.5</v>
      </c>
      <c r="X11" s="1313">
        <f t="shared" si="14"/>
        <v>3.6</v>
      </c>
      <c r="Y11" s="1398">
        <f t="shared" si="15"/>
        <v>3.4999999999999996</v>
      </c>
      <c r="Z11" s="1398">
        <f t="shared" si="16"/>
        <v>2.8000000000000007</v>
      </c>
      <c r="AA11" s="1398">
        <f t="shared" si="17"/>
        <v>3.5</v>
      </c>
      <c r="AC11" s="1747" t="str">
        <f>+[2]rapkvart!B261</f>
        <v>Nyttjanderättstillgångar</v>
      </c>
      <c r="AD11" s="1748">
        <f t="shared" si="18"/>
        <v>3.4999999999999996</v>
      </c>
      <c r="AE11" s="1749">
        <f t="shared" si="19"/>
        <v>3.3</v>
      </c>
      <c r="AF11" s="1748">
        <f t="shared" si="20"/>
        <v>7.1</v>
      </c>
      <c r="AG11" s="1749">
        <f t="shared" si="21"/>
        <v>6.6</v>
      </c>
      <c r="AH11" s="1748">
        <f t="shared" si="22"/>
        <v>13.9</v>
      </c>
      <c r="AI11" s="1749">
        <f t="shared" si="23"/>
        <v>13.4</v>
      </c>
      <c r="AK11" s="1747" t="str">
        <f>+[2]rapkvart!$A$261</f>
        <v>Right of use assets</v>
      </c>
      <c r="AL11" s="1748">
        <f t="shared" si="24"/>
        <v>3.4999999999999996</v>
      </c>
      <c r="AM11" s="1749">
        <f t="shared" si="25"/>
        <v>3.3</v>
      </c>
      <c r="AN11" s="1748">
        <f t="shared" si="26"/>
        <v>7.1</v>
      </c>
      <c r="AO11" s="1749">
        <f t="shared" si="27"/>
        <v>6.6</v>
      </c>
      <c r="AP11" s="1748">
        <f t="shared" si="28"/>
        <v>13.9</v>
      </c>
      <c r="AQ11" s="1749">
        <f t="shared" si="29"/>
        <v>13.4</v>
      </c>
    </row>
    <row r="12" spans="2:43" x14ac:dyDescent="0.15">
      <c r="B12" s="1404" t="s">
        <v>695</v>
      </c>
      <c r="C12" s="1405">
        <f>[2]rapkvart!S262</f>
        <v>22.9</v>
      </c>
      <c r="D12" s="1405">
        <f>[2]rapkvart!T262</f>
        <v>46.4</v>
      </c>
      <c r="E12" s="1405">
        <f>[2]rapkvart!U262</f>
        <v>69.399999999999991</v>
      </c>
      <c r="F12" s="1405">
        <f>[2]rapkvart!V262</f>
        <v>91.399999999999991</v>
      </c>
      <c r="G12" s="1405">
        <f>[2]rapkvart!O262</f>
        <v>21.9</v>
      </c>
      <c r="H12" s="1405">
        <f>[2]rapkvart!P262</f>
        <v>44.699999999999996</v>
      </c>
      <c r="I12" s="1405">
        <f>[2]rapkvart!Q262</f>
        <v>66.900000000000006</v>
      </c>
      <c r="J12" s="1405">
        <f>[2]rapkvart!R262</f>
        <v>88.7</v>
      </c>
      <c r="K12" s="1405">
        <f>[2]rapkvart!K262</f>
        <v>22.000000000000004</v>
      </c>
      <c r="L12" s="1405">
        <f>[2]rapkvart!L262</f>
        <v>43.7</v>
      </c>
      <c r="M12" s="1405">
        <f>[2]rapkvart!M262</f>
        <v>66.900000000000006</v>
      </c>
      <c r="N12" s="1405">
        <f>[2]rapkvart!N262</f>
        <v>88.7</v>
      </c>
      <c r="O12" s="1314"/>
      <c r="P12" s="1315">
        <f t="shared" si="6"/>
        <v>22.9</v>
      </c>
      <c r="Q12" s="1399">
        <f t="shared" si="7"/>
        <v>23.5</v>
      </c>
      <c r="R12" s="1399">
        <f t="shared" si="8"/>
        <v>22.999999999999993</v>
      </c>
      <c r="S12" s="1399">
        <f t="shared" si="9"/>
        <v>22</v>
      </c>
      <c r="T12" s="1315">
        <f t="shared" si="10"/>
        <v>21.9</v>
      </c>
      <c r="U12" s="1399">
        <f t="shared" si="11"/>
        <v>22.799999999999997</v>
      </c>
      <c r="V12" s="1399">
        <f t="shared" si="12"/>
        <v>22.20000000000001</v>
      </c>
      <c r="W12" s="1399">
        <f t="shared" si="13"/>
        <v>21.799999999999997</v>
      </c>
      <c r="X12" s="1315">
        <f t="shared" si="14"/>
        <v>22.000000000000004</v>
      </c>
      <c r="Y12" s="1399">
        <f t="shared" si="15"/>
        <v>21.7</v>
      </c>
      <c r="Z12" s="1399">
        <f t="shared" si="16"/>
        <v>23.200000000000003</v>
      </c>
      <c r="AA12" s="1399">
        <f t="shared" si="17"/>
        <v>21.799999999999997</v>
      </c>
      <c r="AC12" s="786" t="str">
        <f>+[2]rapkvart!B262</f>
        <v>Totalt</v>
      </c>
      <c r="AD12" s="1741">
        <f t="shared" si="18"/>
        <v>21.7</v>
      </c>
      <c r="AE12" s="1740">
        <f t="shared" si="19"/>
        <v>22.799999999999997</v>
      </c>
      <c r="AF12" s="1741">
        <f t="shared" si="20"/>
        <v>43.7</v>
      </c>
      <c r="AG12" s="1740">
        <f t="shared" si="21"/>
        <v>44.699999999999996</v>
      </c>
      <c r="AH12" s="1741">
        <f t="shared" si="22"/>
        <v>87.700000000000017</v>
      </c>
      <c r="AI12" s="1740">
        <f t="shared" si="23"/>
        <v>88.7</v>
      </c>
      <c r="AK12" s="786" t="s">
        <v>360</v>
      </c>
      <c r="AL12" s="1741">
        <f t="shared" si="24"/>
        <v>21.7</v>
      </c>
      <c r="AM12" s="1740">
        <f t="shared" si="25"/>
        <v>22.799999999999997</v>
      </c>
      <c r="AN12" s="1741">
        <f t="shared" si="26"/>
        <v>43.7</v>
      </c>
      <c r="AO12" s="1740">
        <f t="shared" si="27"/>
        <v>44.699999999999996</v>
      </c>
      <c r="AP12" s="1741">
        <f t="shared" si="28"/>
        <v>87.700000000000017</v>
      </c>
      <c r="AQ12" s="1740">
        <f t="shared" si="29"/>
        <v>88.7</v>
      </c>
    </row>
    <row r="13" spans="2:43" x14ac:dyDescent="0.15">
      <c r="B13" s="1406" t="s">
        <v>696</v>
      </c>
      <c r="C13" s="1403">
        <f>[2]rapkvart!S263</f>
        <v>0</v>
      </c>
      <c r="D13" s="1403">
        <f>[2]rapkvart!T263</f>
        <v>0</v>
      </c>
      <c r="E13" s="1403">
        <f>[2]rapkvart!U263</f>
        <v>0</v>
      </c>
      <c r="F13" s="1403">
        <f>[2]rapkvart!V263</f>
        <v>0</v>
      </c>
      <c r="G13" s="1403">
        <f>[2]rapkvart!O263</f>
        <v>0</v>
      </c>
      <c r="H13" s="1403">
        <f>[2]rapkvart!P263</f>
        <v>0</v>
      </c>
      <c r="I13" s="1403">
        <f>[2]rapkvart!Q263</f>
        <v>0</v>
      </c>
      <c r="J13" s="1403">
        <f>[2]rapkvart!R263</f>
        <v>0</v>
      </c>
      <c r="K13" s="1403">
        <f>[2]rapkvart!K263</f>
        <v>0</v>
      </c>
      <c r="L13" s="1403">
        <f>[2]rapkvart!L263</f>
        <v>0</v>
      </c>
      <c r="M13" s="1403">
        <f>[2]rapkvart!M263</f>
        <v>0</v>
      </c>
      <c r="N13" s="1403">
        <f>[2]rapkvart!N263</f>
        <v>0</v>
      </c>
      <c r="O13" s="1314"/>
      <c r="P13" s="1313">
        <f t="shared" si="6"/>
        <v>0</v>
      </c>
      <c r="Q13" s="1398">
        <f t="shared" si="7"/>
        <v>0</v>
      </c>
      <c r="R13" s="1398">
        <f t="shared" si="8"/>
        <v>0</v>
      </c>
      <c r="S13" s="1398">
        <f t="shared" si="9"/>
        <v>0</v>
      </c>
      <c r="T13" s="1313">
        <f t="shared" si="10"/>
        <v>0</v>
      </c>
      <c r="U13" s="1398">
        <f t="shared" si="11"/>
        <v>0</v>
      </c>
      <c r="V13" s="1398">
        <f t="shared" si="12"/>
        <v>0</v>
      </c>
      <c r="W13" s="1398">
        <f t="shared" si="13"/>
        <v>0</v>
      </c>
      <c r="X13" s="1313">
        <f t="shared" si="14"/>
        <v>0</v>
      </c>
      <c r="Y13" s="1398">
        <f t="shared" si="15"/>
        <v>0</v>
      </c>
      <c r="Z13" s="1398">
        <f t="shared" si="16"/>
        <v>0</v>
      </c>
      <c r="AA13" s="1398">
        <f t="shared" si="17"/>
        <v>0</v>
      </c>
      <c r="AC13" s="700" t="str">
        <f>+[2]rapkvart!B263</f>
        <v>varav nedskrivningar</v>
      </c>
      <c r="AD13" s="1201">
        <f t="shared" si="18"/>
        <v>0</v>
      </c>
      <c r="AE13" s="1202">
        <f t="shared" si="19"/>
        <v>0</v>
      </c>
      <c r="AF13" s="1201">
        <f t="shared" si="20"/>
        <v>0</v>
      </c>
      <c r="AG13" s="1202">
        <f t="shared" si="21"/>
        <v>0</v>
      </c>
      <c r="AH13" s="1201">
        <f t="shared" si="22"/>
        <v>0</v>
      </c>
      <c r="AI13" s="1202">
        <f t="shared" si="23"/>
        <v>0</v>
      </c>
      <c r="AK13" s="700" t="str">
        <f>+[2]rapkvart!A263</f>
        <v xml:space="preserve">of which write-down </v>
      </c>
      <c r="AL13" s="1601">
        <f t="shared" si="24"/>
        <v>0</v>
      </c>
      <c r="AM13" s="1602">
        <f t="shared" si="25"/>
        <v>0</v>
      </c>
      <c r="AN13" s="1601">
        <f t="shared" si="26"/>
        <v>0</v>
      </c>
      <c r="AO13" s="1602">
        <f t="shared" si="27"/>
        <v>0</v>
      </c>
      <c r="AP13" s="1601">
        <f t="shared" si="28"/>
        <v>0</v>
      </c>
      <c r="AQ13" s="1602">
        <f t="shared" si="29"/>
        <v>0</v>
      </c>
    </row>
    <row r="15" spans="2:43" x14ac:dyDescent="0.15">
      <c r="B15" s="1946" t="s">
        <v>181</v>
      </c>
      <c r="C15" s="1947">
        <f>SUM(C8:C11)-C12</f>
        <v>0</v>
      </c>
      <c r="D15" s="1947">
        <f t="shared" ref="D15:AA15" si="30">SUM(D8:D11)-D12</f>
        <v>0</v>
      </c>
      <c r="E15" s="1947">
        <f t="shared" si="30"/>
        <v>0</v>
      </c>
      <c r="F15" s="1947">
        <f t="shared" si="30"/>
        <v>0</v>
      </c>
      <c r="G15" s="1947">
        <f t="shared" si="30"/>
        <v>0</v>
      </c>
      <c r="H15" s="1947">
        <f t="shared" si="30"/>
        <v>0</v>
      </c>
      <c r="I15" s="1947">
        <f t="shared" si="30"/>
        <v>0</v>
      </c>
      <c r="J15" s="1947">
        <f t="shared" si="30"/>
        <v>0</v>
      </c>
      <c r="K15" s="1947">
        <f t="shared" si="30"/>
        <v>0</v>
      </c>
      <c r="L15" s="1947">
        <f t="shared" si="30"/>
        <v>0</v>
      </c>
      <c r="M15" s="1947">
        <f t="shared" si="30"/>
        <v>0</v>
      </c>
      <c r="N15" s="1947">
        <f t="shared" si="30"/>
        <v>0</v>
      </c>
      <c r="P15" s="1947">
        <f t="shared" si="30"/>
        <v>0</v>
      </c>
      <c r="Q15" s="1947">
        <f t="shared" si="30"/>
        <v>0</v>
      </c>
      <c r="R15" s="1947">
        <f t="shared" si="30"/>
        <v>0</v>
      </c>
      <c r="S15" s="1947">
        <f t="shared" si="30"/>
        <v>0</v>
      </c>
      <c r="T15" s="1947">
        <f t="shared" si="30"/>
        <v>0</v>
      </c>
      <c r="U15" s="1947">
        <f t="shared" si="30"/>
        <v>0</v>
      </c>
      <c r="V15" s="1947">
        <f t="shared" si="30"/>
        <v>0</v>
      </c>
      <c r="W15" s="1947">
        <f t="shared" si="30"/>
        <v>0</v>
      </c>
      <c r="X15" s="1947">
        <f t="shared" si="30"/>
        <v>0</v>
      </c>
      <c r="Y15" s="1947">
        <f t="shared" si="30"/>
        <v>0</v>
      </c>
      <c r="Z15" s="1947">
        <f t="shared" si="30"/>
        <v>0</v>
      </c>
      <c r="AA15" s="1947">
        <f t="shared" si="30"/>
        <v>0</v>
      </c>
      <c r="AC15" s="1946" t="s">
        <v>181</v>
      </c>
      <c r="AD15" s="1947">
        <f>SUM(AD8:AD11)-AD12</f>
        <v>0</v>
      </c>
      <c r="AE15" s="1947">
        <f t="shared" ref="AE15:AI15" si="31">SUM(AE8:AE11)-AE12</f>
        <v>0</v>
      </c>
      <c r="AF15" s="1947">
        <f t="shared" si="31"/>
        <v>0</v>
      </c>
      <c r="AG15" s="1947">
        <f t="shared" si="31"/>
        <v>0</v>
      </c>
      <c r="AH15" s="1947">
        <f t="shared" si="31"/>
        <v>0</v>
      </c>
      <c r="AI15" s="1947">
        <f t="shared" si="31"/>
        <v>0</v>
      </c>
      <c r="AK15" s="1946" t="s">
        <v>181</v>
      </c>
      <c r="AL15" s="1947">
        <f t="shared" ref="AL15:AQ15" si="32">SUM(AL8:AL11)-AL12</f>
        <v>0</v>
      </c>
      <c r="AM15" s="1947">
        <f t="shared" si="32"/>
        <v>0</v>
      </c>
      <c r="AN15" s="1947">
        <f t="shared" si="32"/>
        <v>0</v>
      </c>
      <c r="AO15" s="1947">
        <f t="shared" si="32"/>
        <v>0</v>
      </c>
      <c r="AP15" s="1947">
        <f t="shared" si="32"/>
        <v>0</v>
      </c>
      <c r="AQ15" s="1947">
        <f t="shared" si="32"/>
        <v>0</v>
      </c>
    </row>
    <row r="17" spans="16:35" x14ac:dyDescent="0.15">
      <c r="P17" s="363" t="str">
        <f>B8</f>
        <v>Immateriella anläggningstillgångar</v>
      </c>
      <c r="Q17" s="363"/>
      <c r="R17" s="363"/>
      <c r="S17" s="363"/>
      <c r="T17" s="2045">
        <f>IFERROR(T8/P8-1,"N/A")</f>
        <v>-1</v>
      </c>
      <c r="U17" s="2045">
        <f t="shared" ref="U17:AA21" si="33">IFERROR(U8/Q8-1,"N/A")</f>
        <v>-1</v>
      </c>
      <c r="V17" s="2045">
        <f t="shared" si="33"/>
        <v>-1</v>
      </c>
      <c r="W17" s="2045" t="str">
        <f t="shared" si="33"/>
        <v>N/A</v>
      </c>
      <c r="X17" s="2045" t="str">
        <f t="shared" si="33"/>
        <v>N/A</v>
      </c>
      <c r="Y17" s="2045" t="str">
        <f t="shared" si="33"/>
        <v>N/A</v>
      </c>
      <c r="Z17" s="2045" t="str">
        <f t="shared" si="33"/>
        <v>N/A</v>
      </c>
      <c r="AA17" s="2045" t="str">
        <f t="shared" si="33"/>
        <v>N/A</v>
      </c>
    </row>
    <row r="18" spans="16:35" x14ac:dyDescent="0.15">
      <c r="P18" s="363" t="str">
        <f t="shared" ref="P18:P21" si="34">B9</f>
        <v>Byggnader och mark</v>
      </c>
      <c r="Q18" s="363"/>
      <c r="R18" s="363"/>
      <c r="S18" s="363"/>
      <c r="T18" s="2045">
        <f t="shared" ref="T18:T21" si="35">IFERROR(T9/P9-1,"N/A")</f>
        <v>6.25E-2</v>
      </c>
      <c r="U18" s="2045">
        <f t="shared" si="33"/>
        <v>-5.8823529411764608E-2</v>
      </c>
      <c r="V18" s="2045">
        <f t="shared" si="33"/>
        <v>0</v>
      </c>
      <c r="W18" s="2045">
        <f t="shared" si="33"/>
        <v>0</v>
      </c>
      <c r="X18" s="2045">
        <f t="shared" si="33"/>
        <v>5.8823529411764719E-2</v>
      </c>
      <c r="Y18" s="2045">
        <f t="shared" si="33"/>
        <v>0.18750000000000022</v>
      </c>
      <c r="Z18" s="2045">
        <f t="shared" si="33"/>
        <v>-0.23529411764705899</v>
      </c>
      <c r="AA18" s="2045">
        <f t="shared" si="33"/>
        <v>0</v>
      </c>
    </row>
    <row r="19" spans="16:35" x14ac:dyDescent="0.15">
      <c r="P19" s="363" t="str">
        <f t="shared" si="34"/>
        <v>Maskiner och inventarier</v>
      </c>
      <c r="Q19" s="363"/>
      <c r="R19" s="363"/>
      <c r="S19" s="363"/>
      <c r="T19" s="2045">
        <f t="shared" si="35"/>
        <v>3.6809815950920033E-2</v>
      </c>
      <c r="U19" s="2045">
        <f t="shared" si="33"/>
        <v>5.9171597633135953E-2</v>
      </c>
      <c r="V19" s="2045">
        <f t="shared" si="33"/>
        <v>5.8479532163748793E-3</v>
      </c>
      <c r="W19" s="2045">
        <f t="shared" si="33"/>
        <v>-2.3529411764706243E-2</v>
      </c>
      <c r="X19" s="2045">
        <f t="shared" si="33"/>
        <v>-1.7751479289940697E-2</v>
      </c>
      <c r="Y19" s="2045">
        <f t="shared" si="33"/>
        <v>-8.9385474860335323E-2</v>
      </c>
      <c r="Z19" s="2045">
        <f t="shared" si="33"/>
        <v>0.11046511627906974</v>
      </c>
      <c r="AA19" s="2045">
        <f t="shared" si="33"/>
        <v>0</v>
      </c>
      <c r="AC19" s="1948"/>
      <c r="AD19" s="1923" t="str">
        <f>'Koncern RR '!AX10</f>
        <v>Kvartal 2</v>
      </c>
      <c r="AE19" s="1923" t="str">
        <f>'Koncern RR '!AY10</f>
        <v>Kvartal 2</v>
      </c>
      <c r="AF19" s="1923" t="str">
        <f>'Koncern RR '!AZ10</f>
        <v>Kvartal 1-2</v>
      </c>
      <c r="AG19" s="1923" t="str">
        <f>'Koncern RR '!BA10</f>
        <v>Kvartal 1-2</v>
      </c>
      <c r="AH19" s="1923" t="str">
        <f>'Koncern RR '!BB10</f>
        <v>Kvartal 2, R12</v>
      </c>
      <c r="AI19" s="1923" t="str">
        <f>'Koncern RR '!BC10</f>
        <v>Helår</v>
      </c>
    </row>
    <row r="20" spans="16:35" x14ac:dyDescent="0.15">
      <c r="P20" s="2046" t="str">
        <f t="shared" si="34"/>
        <v>Nyttjanderättstillgångar</v>
      </c>
      <c r="Q20" s="2046"/>
      <c r="R20" s="2046"/>
      <c r="S20" s="2046"/>
      <c r="T20" s="2047">
        <f t="shared" si="35"/>
        <v>-2.9411764705882359E-2</v>
      </c>
      <c r="U20" s="2047">
        <f t="shared" si="33"/>
        <v>-5.7142857142857273E-2</v>
      </c>
      <c r="V20" s="2047">
        <f t="shared" si="33"/>
        <v>4.4408920985006262E-16</v>
      </c>
      <c r="W20" s="2047">
        <f t="shared" si="33"/>
        <v>6.060606060606033E-2</v>
      </c>
      <c r="X20" s="2047">
        <f t="shared" si="33"/>
        <v>9.090909090909105E-2</v>
      </c>
      <c r="Y20" s="2047">
        <f t="shared" si="33"/>
        <v>6.0606060606060552E-2</v>
      </c>
      <c r="Z20" s="2047">
        <f t="shared" si="33"/>
        <v>-0.15151515151515149</v>
      </c>
      <c r="AA20" s="2047">
        <f t="shared" si="33"/>
        <v>0</v>
      </c>
      <c r="AC20" s="1949"/>
      <c r="AD20" s="1925">
        <f>'Koncern RR '!AX11</f>
        <v>2026</v>
      </c>
      <c r="AE20" s="1925">
        <f>'Koncern RR '!AY11</f>
        <v>2025</v>
      </c>
      <c r="AF20" s="1925">
        <f>'Koncern RR '!AZ11</f>
        <v>2026</v>
      </c>
      <c r="AG20" s="1925">
        <f>'Koncern RR '!BA11</f>
        <v>2025</v>
      </c>
      <c r="AH20" s="1925">
        <f>'Koncern RR '!BB11</f>
        <v>2026</v>
      </c>
      <c r="AI20" s="1925">
        <f>'Koncern RR '!BC11</f>
        <v>2025</v>
      </c>
    </row>
    <row r="21" spans="16:35" x14ac:dyDescent="0.15">
      <c r="P21" s="723" t="str">
        <f t="shared" si="34"/>
        <v>Totalt</v>
      </c>
      <c r="Q21" s="723"/>
      <c r="R21" s="723"/>
      <c r="S21" s="723"/>
      <c r="T21" s="2048">
        <f t="shared" si="35"/>
        <v>-4.3668122270742349E-2</v>
      </c>
      <c r="U21" s="2048">
        <f t="shared" si="33"/>
        <v>-2.9787234042553346E-2</v>
      </c>
      <c r="V21" s="2048">
        <f t="shared" si="33"/>
        <v>-3.4782608695651418E-2</v>
      </c>
      <c r="W21" s="2048">
        <f t="shared" si="33"/>
        <v>-9.0909090909092605E-3</v>
      </c>
      <c r="X21" s="2048">
        <f t="shared" si="33"/>
        <v>4.5662100456622667E-3</v>
      </c>
      <c r="Y21" s="2048">
        <f t="shared" si="33"/>
        <v>-4.8245614035087647E-2</v>
      </c>
      <c r="Z21" s="2048">
        <f t="shared" si="33"/>
        <v>4.5045045045044807E-2</v>
      </c>
      <c r="AA21" s="2048">
        <f t="shared" si="33"/>
        <v>0</v>
      </c>
      <c r="AC21" s="1402" t="s">
        <v>858</v>
      </c>
      <c r="AD21" s="1402">
        <f>'Koncern RR '!AC86</f>
        <v>21.699999999999996</v>
      </c>
      <c r="AE21" s="1402">
        <f>'Koncern RR '!Y86</f>
        <v>22.8</v>
      </c>
      <c r="AF21" s="1402">
        <f>SUM('Koncern RR '!AB86:AC86)</f>
        <v>43.7</v>
      </c>
      <c r="AG21" s="1402">
        <f>SUM('Koncern RR '!X86:Y86)</f>
        <v>44.7</v>
      </c>
      <c r="AH21" s="1402">
        <f>SUM('Koncern RR '!Z86:AC86)</f>
        <v>87.699999999999989</v>
      </c>
      <c r="AI21" s="1402">
        <f>SUM('Koncern RR '!X86:AA86)</f>
        <v>88.7</v>
      </c>
    </row>
    <row r="22" spans="16:35" x14ac:dyDescent="0.15">
      <c r="AC22" s="1946" t="s">
        <v>181</v>
      </c>
      <c r="AD22" s="1947">
        <f>SUM(AD8:AD11)-AD21</f>
        <v>0</v>
      </c>
      <c r="AE22" s="1947">
        <f t="shared" ref="AE22:AI22" si="36">SUM(AE8:AE11)-AE21</f>
        <v>0</v>
      </c>
      <c r="AF22" s="1947">
        <f t="shared" si="36"/>
        <v>0</v>
      </c>
      <c r="AG22" s="1947">
        <f t="shared" si="36"/>
        <v>0</v>
      </c>
      <c r="AH22" s="1947">
        <f t="shared" si="36"/>
        <v>0</v>
      </c>
      <c r="AI22" s="1947">
        <f t="shared" si="36"/>
        <v>0</v>
      </c>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71894-E649-453A-A3EE-87F824F8A4D5}">
  <sheetPr>
    <tabColor theme="8"/>
  </sheetPr>
  <dimension ref="B1:AR21"/>
  <sheetViews>
    <sheetView workbookViewId="0"/>
    <sheetView workbookViewId="1"/>
  </sheetViews>
  <sheetFormatPr defaultColWidth="9.140625" defaultRowHeight="9" outlineLevelCol="1" x14ac:dyDescent="0.15"/>
  <cols>
    <col min="1" max="3" width="9.140625" style="259"/>
    <col min="4" max="15" width="5" style="390" hidden="1" customWidth="1" outlineLevel="1"/>
    <col min="16" max="16" width="2" style="390" customWidth="1" collapsed="1"/>
    <col min="17" max="17" width="5" style="390" customWidth="1"/>
    <col min="18" max="26" width="5" style="259" customWidth="1"/>
    <col min="27" max="28" width="5" style="259" hidden="1" customWidth="1" outlineLevel="1"/>
    <col min="29" max="29" width="9.140625" style="259" collapsed="1"/>
    <col min="30" max="30" width="33.140625" style="259" customWidth="1"/>
    <col min="31" max="36" width="9.28515625" style="259" customWidth="1"/>
    <col min="37" max="37" width="9.140625" style="259"/>
    <col min="38" max="38" width="37.140625" style="259" customWidth="1"/>
    <col min="39" max="40" width="9.28515625" style="259" customWidth="1"/>
    <col min="41" max="42" width="9.28515625" style="259" customWidth="1" outlineLevel="1"/>
    <col min="43" max="44" width="9.28515625" style="259" customWidth="1"/>
    <col min="45" max="16384" width="9.140625" style="259"/>
  </cols>
  <sheetData>
    <row r="1" spans="2:44" x14ac:dyDescent="0.15">
      <c r="B1" s="1930"/>
      <c r="C1" s="1930"/>
      <c r="D1" s="1931"/>
      <c r="E1" s="1931"/>
      <c r="F1" s="1931"/>
      <c r="G1" s="1931"/>
      <c r="H1" s="1931"/>
      <c r="I1" s="1931"/>
      <c r="J1" s="1931"/>
      <c r="K1" s="1931"/>
      <c r="L1" s="1931"/>
      <c r="M1" s="1931"/>
      <c r="N1" s="1931"/>
      <c r="O1" s="1931"/>
      <c r="P1" s="1931"/>
      <c r="Q1" s="1931"/>
      <c r="R1" s="1930"/>
      <c r="S1" s="1930"/>
      <c r="T1" s="1930"/>
      <c r="U1" s="1930"/>
      <c r="V1" s="1930"/>
      <c r="W1" s="1930"/>
      <c r="X1" s="1930"/>
      <c r="Y1" s="1930"/>
      <c r="Z1" s="1930"/>
      <c r="AA1" s="1930"/>
      <c r="AB1" s="1930"/>
      <c r="AD1" s="1930"/>
      <c r="AE1" s="1930"/>
      <c r="AF1" s="1930"/>
      <c r="AG1" s="1930"/>
      <c r="AH1" s="1930"/>
      <c r="AI1" s="1930"/>
      <c r="AJ1" s="1930"/>
      <c r="AL1" s="1930"/>
      <c r="AM1" s="1930"/>
      <c r="AN1" s="1930"/>
      <c r="AO1" s="1930"/>
      <c r="AP1" s="1930"/>
      <c r="AQ1" s="1930"/>
      <c r="AR1" s="1930"/>
    </row>
    <row r="3" spans="2:44" ht="15" x14ac:dyDescent="0.25">
      <c r="B3" s="794" t="s">
        <v>687</v>
      </c>
      <c r="C3" s="794"/>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D3" s="794" t="s">
        <v>688</v>
      </c>
      <c r="AE3" s="271"/>
      <c r="AF3" s="271"/>
      <c r="AG3" s="271"/>
      <c r="AH3" s="271"/>
      <c r="AI3" s="271"/>
      <c r="AJ3" s="271"/>
      <c r="AL3" s="794" t="s">
        <v>689</v>
      </c>
      <c r="AM3" s="271"/>
      <c r="AN3" s="271"/>
      <c r="AO3" s="271"/>
      <c r="AP3" s="271"/>
      <c r="AQ3" s="271"/>
      <c r="AR3" s="271"/>
    </row>
    <row r="5" spans="2:44" ht="11.25" customHeight="1" x14ac:dyDescent="0.15">
      <c r="B5" s="262" t="s">
        <v>697</v>
      </c>
      <c r="C5" s="262"/>
      <c r="D5" s="477"/>
      <c r="E5" s="477"/>
      <c r="F5" s="477"/>
      <c r="G5" s="477"/>
      <c r="H5" s="477"/>
      <c r="I5" s="477"/>
      <c r="J5" s="477"/>
      <c r="K5" s="477"/>
      <c r="L5" s="477"/>
      <c r="M5" s="477"/>
      <c r="N5" s="477"/>
      <c r="O5" s="477"/>
      <c r="Q5" s="477"/>
      <c r="R5" s="477"/>
      <c r="S5" s="477"/>
      <c r="T5" s="477"/>
      <c r="U5" s="477"/>
      <c r="V5" s="477"/>
      <c r="W5" s="477"/>
      <c r="X5" s="477"/>
      <c r="Y5" s="477"/>
      <c r="Z5" s="477"/>
      <c r="AA5" s="477"/>
      <c r="AB5" s="477"/>
      <c r="AD5" s="262" t="str">
        <f>+[2]rapkvart!$B$266</f>
        <v>Not 4 - Finansiella kostnader</v>
      </c>
      <c r="AE5" s="272"/>
      <c r="AF5" s="272"/>
      <c r="AG5" s="272"/>
      <c r="AH5" s="272"/>
      <c r="AI5" s="272"/>
      <c r="AJ5" s="272"/>
      <c r="AL5" s="262" t="str">
        <f>+[2]rapkvart!$A$266</f>
        <v>Note 4 - Financial expenses</v>
      </c>
      <c r="AM5" s="272"/>
      <c r="AN5" s="272"/>
      <c r="AO5" s="272"/>
      <c r="AP5" s="272"/>
    </row>
    <row r="6" spans="2:44" ht="11.25" customHeight="1" x14ac:dyDescent="0.15">
      <c r="B6" s="260"/>
      <c r="C6" s="260"/>
      <c r="D6" s="261" t="s">
        <v>159</v>
      </c>
      <c r="E6" s="261" t="s">
        <v>159</v>
      </c>
      <c r="F6" s="261" t="s">
        <v>159</v>
      </c>
      <c r="G6" s="261" t="s">
        <v>159</v>
      </c>
      <c r="H6" s="261" t="s">
        <v>159</v>
      </c>
      <c r="I6" s="261" t="s">
        <v>159</v>
      </c>
      <c r="J6" s="261" t="s">
        <v>159</v>
      </c>
      <c r="K6" s="261" t="s">
        <v>159</v>
      </c>
      <c r="L6" s="261" t="s">
        <v>159</v>
      </c>
      <c r="M6" s="261" t="s">
        <v>159</v>
      </c>
      <c r="N6" s="261" t="s">
        <v>159</v>
      </c>
      <c r="O6" s="261" t="s">
        <v>159</v>
      </c>
      <c r="Q6" s="261" t="s">
        <v>160</v>
      </c>
      <c r="R6" s="261" t="s">
        <v>160</v>
      </c>
      <c r="S6" s="261" t="s">
        <v>160</v>
      </c>
      <c r="T6" s="261" t="s">
        <v>160</v>
      </c>
      <c r="U6" s="261" t="s">
        <v>160</v>
      </c>
      <c r="V6" s="261" t="s">
        <v>160</v>
      </c>
      <c r="W6" s="261" t="s">
        <v>160</v>
      </c>
      <c r="X6" s="261" t="s">
        <v>160</v>
      </c>
      <c r="Y6" s="261" t="s">
        <v>160</v>
      </c>
      <c r="Z6" s="261" t="s">
        <v>160</v>
      </c>
      <c r="AA6" s="261" t="s">
        <v>160</v>
      </c>
      <c r="AB6" s="261" t="s">
        <v>160</v>
      </c>
      <c r="AD6" s="260"/>
      <c r="AE6" s="261" t="str">
        <f>+[2]rapkvart!D256</f>
        <v>Kvartal 2</v>
      </c>
      <c r="AF6" s="261" t="str">
        <f>+[2]rapkvart!E256</f>
        <v>Kvartal 2</v>
      </c>
      <c r="AG6" s="261" t="s">
        <v>220</v>
      </c>
      <c r="AH6" s="261" t="s">
        <v>220</v>
      </c>
      <c r="AI6" s="261" t="s">
        <v>199</v>
      </c>
      <c r="AJ6" s="261" t="s">
        <v>32</v>
      </c>
      <c r="AL6" s="260"/>
      <c r="AM6" s="261" t="s">
        <v>200</v>
      </c>
      <c r="AN6" s="261" t="s">
        <v>200</v>
      </c>
      <c r="AO6" s="261" t="s">
        <v>201</v>
      </c>
      <c r="AP6" s="261" t="s">
        <v>201</v>
      </c>
      <c r="AQ6" s="261" t="s">
        <v>202</v>
      </c>
      <c r="AR6" s="261" t="s">
        <v>203</v>
      </c>
    </row>
    <row r="7" spans="2:44" ht="9" customHeight="1" x14ac:dyDescent="0.15">
      <c r="B7" s="273" t="s">
        <v>221</v>
      </c>
      <c r="C7" s="273"/>
      <c r="D7" s="275">
        <v>2403</v>
      </c>
      <c r="E7" s="275">
        <f>D7+3</f>
        <v>2406</v>
      </c>
      <c r="F7" s="275">
        <f t="shared" ref="F7:G7" si="0">E7+3</f>
        <v>2409</v>
      </c>
      <c r="G7" s="275">
        <f t="shared" si="0"/>
        <v>2412</v>
      </c>
      <c r="H7" s="275">
        <f>D7+100</f>
        <v>2503</v>
      </c>
      <c r="I7" s="275">
        <f t="shared" ref="I7:O7" si="1">E7+100</f>
        <v>2506</v>
      </c>
      <c r="J7" s="275">
        <f t="shared" si="1"/>
        <v>2509</v>
      </c>
      <c r="K7" s="275">
        <f t="shared" si="1"/>
        <v>2512</v>
      </c>
      <c r="L7" s="275">
        <f t="shared" si="1"/>
        <v>2603</v>
      </c>
      <c r="M7" s="275">
        <f t="shared" si="1"/>
        <v>2606</v>
      </c>
      <c r="N7" s="275">
        <f t="shared" si="1"/>
        <v>2609</v>
      </c>
      <c r="O7" s="275">
        <f t="shared" si="1"/>
        <v>2612</v>
      </c>
      <c r="Q7" s="275">
        <f t="shared" ref="Q7:AB7" si="2">D7</f>
        <v>2403</v>
      </c>
      <c r="R7" s="275">
        <f t="shared" si="2"/>
        <v>2406</v>
      </c>
      <c r="S7" s="275">
        <f t="shared" si="2"/>
        <v>2409</v>
      </c>
      <c r="T7" s="275">
        <f t="shared" si="2"/>
        <v>2412</v>
      </c>
      <c r="U7" s="275">
        <f t="shared" si="2"/>
        <v>2503</v>
      </c>
      <c r="V7" s="275">
        <f t="shared" si="2"/>
        <v>2506</v>
      </c>
      <c r="W7" s="275">
        <f t="shared" si="2"/>
        <v>2509</v>
      </c>
      <c r="X7" s="275">
        <f t="shared" si="2"/>
        <v>2512</v>
      </c>
      <c r="Y7" s="275">
        <f t="shared" si="2"/>
        <v>2603</v>
      </c>
      <c r="Z7" s="275">
        <f t="shared" si="2"/>
        <v>2606</v>
      </c>
      <c r="AA7" s="275">
        <f t="shared" si="2"/>
        <v>2609</v>
      </c>
      <c r="AB7" s="275">
        <f t="shared" si="2"/>
        <v>2612</v>
      </c>
      <c r="AD7" s="273" t="str">
        <f>+[2]rapkvart!B268</f>
        <v>Mkr</v>
      </c>
      <c r="AE7" s="948">
        <f>+[2]rapkvart!D257</f>
        <v>2026</v>
      </c>
      <c r="AF7" s="948">
        <f>+[2]rapkvart!E257</f>
        <v>2025</v>
      </c>
      <c r="AG7" s="948">
        <f>+[2]rapkvart!F257</f>
        <v>2026</v>
      </c>
      <c r="AH7" s="948">
        <f>+[2]rapkvart!G257</f>
        <v>2025</v>
      </c>
      <c r="AI7" s="948">
        <f>+[2]rapkvart!F257</f>
        <v>2026</v>
      </c>
      <c r="AJ7" s="948">
        <f>+[2]rapkvart!G257</f>
        <v>2025</v>
      </c>
      <c r="AL7" s="273" t="str">
        <f>+[2]rapkvart!A268</f>
        <v>MSEK</v>
      </c>
      <c r="AM7" s="948">
        <v>2026</v>
      </c>
      <c r="AN7" s="948">
        <v>2025</v>
      </c>
      <c r="AO7" s="948">
        <v>2026</v>
      </c>
      <c r="AP7" s="948">
        <v>2025</v>
      </c>
      <c r="AQ7" s="948">
        <v>2026</v>
      </c>
      <c r="AR7" s="948">
        <v>2025</v>
      </c>
    </row>
    <row r="8" spans="2:44" ht="9" customHeight="1" x14ac:dyDescent="0.15">
      <c r="B8" s="1400" t="s">
        <v>698</v>
      </c>
      <c r="C8" s="1400"/>
      <c r="D8" s="1316">
        <f>[2]rapkvart!S269</f>
        <v>2</v>
      </c>
      <c r="E8" s="1316">
        <f>[2]rapkvart!T269</f>
        <v>4.0999999999999996</v>
      </c>
      <c r="F8" s="1316">
        <f>[2]rapkvart!U269</f>
        <v>6.2</v>
      </c>
      <c r="G8" s="1316">
        <f>[2]rapkvart!V269</f>
        <v>7.1</v>
      </c>
      <c r="H8" s="1316">
        <f>[2]rapkvart!O269</f>
        <v>1.5</v>
      </c>
      <c r="I8" s="1316">
        <f>[2]rapkvart!P269</f>
        <v>2.9</v>
      </c>
      <c r="J8" s="1316">
        <f>[2]rapkvart!Q269</f>
        <v>4.0999999999999996</v>
      </c>
      <c r="K8" s="1316">
        <f>[2]rapkvart!R269</f>
        <v>6.2</v>
      </c>
      <c r="L8" s="1316">
        <f>[2]rapkvart!K269</f>
        <v>1.9</v>
      </c>
      <c r="M8" s="1316">
        <f>[2]rapkvart!L269</f>
        <v>4.3</v>
      </c>
      <c r="N8" s="1316">
        <f>[2]rapkvart!M269</f>
        <v>4.0999999999999996</v>
      </c>
      <c r="O8" s="1316">
        <f>[2]rapkvart!N269</f>
        <v>6.2</v>
      </c>
      <c r="P8" s="1271"/>
      <c r="Q8" s="1316">
        <f>D8</f>
        <v>2</v>
      </c>
      <c r="R8" s="1420">
        <f>E8-D8</f>
        <v>2.0999999999999996</v>
      </c>
      <c r="S8" s="1420">
        <f t="shared" ref="S8:T12" si="3">F8-E8</f>
        <v>2.1000000000000005</v>
      </c>
      <c r="T8" s="1420">
        <f t="shared" si="3"/>
        <v>0.89999999999999947</v>
      </c>
      <c r="U8" s="1316">
        <f>H8</f>
        <v>1.5</v>
      </c>
      <c r="V8" s="1420">
        <f>I8-H8</f>
        <v>1.4</v>
      </c>
      <c r="W8" s="1420">
        <f t="shared" ref="W8:W12" si="4">J8-I8</f>
        <v>1.1999999999999997</v>
      </c>
      <c r="X8" s="1420">
        <f t="shared" ref="X8:X12" si="5">K8-J8</f>
        <v>2.1000000000000005</v>
      </c>
      <c r="Y8" s="1316">
        <f>L8</f>
        <v>1.9</v>
      </c>
      <c r="Z8" s="1420">
        <f>M8-L8</f>
        <v>2.4</v>
      </c>
      <c r="AA8" s="1420">
        <f t="shared" ref="AA8:AB12" si="6">N8-M8</f>
        <v>-0.20000000000000018</v>
      </c>
      <c r="AB8" s="1420">
        <f t="shared" si="6"/>
        <v>2.1000000000000005</v>
      </c>
      <c r="AD8" s="748" t="str">
        <f>+[2]rapkvart!B269</f>
        <v>Räntekostnader till finansinstitut</v>
      </c>
      <c r="AE8" s="1201">
        <f>Z8</f>
        <v>2.4</v>
      </c>
      <c r="AF8" s="1202">
        <f>V8</f>
        <v>1.4</v>
      </c>
      <c r="AG8" s="1201">
        <f>SUM(Y8:Z8)</f>
        <v>4.3</v>
      </c>
      <c r="AH8" s="1202">
        <f>SUM(U8:V8)</f>
        <v>2.9</v>
      </c>
      <c r="AI8" s="1201">
        <f>SUM(W8:Z8)</f>
        <v>7.6</v>
      </c>
      <c r="AJ8" s="1202">
        <f>SUM(U8:X8)</f>
        <v>6.2</v>
      </c>
      <c r="AL8" s="748" t="str">
        <f>+[2]rapkvart!$A$269</f>
        <v>Interest expenses to financial institutions</v>
      </c>
      <c r="AM8" s="1201">
        <f t="shared" ref="AM8:AR12" si="7">AE8</f>
        <v>2.4</v>
      </c>
      <c r="AN8" s="1202">
        <f t="shared" si="7"/>
        <v>1.4</v>
      </c>
      <c r="AO8" s="1201">
        <f t="shared" si="7"/>
        <v>4.3</v>
      </c>
      <c r="AP8" s="1202">
        <f t="shared" si="7"/>
        <v>2.9</v>
      </c>
      <c r="AQ8" s="1201">
        <f t="shared" si="7"/>
        <v>7.6</v>
      </c>
      <c r="AR8" s="1202">
        <f t="shared" si="7"/>
        <v>6.2</v>
      </c>
    </row>
    <row r="9" spans="2:44" ht="9" customHeight="1" x14ac:dyDescent="0.15">
      <c r="B9" s="1400" t="s">
        <v>699</v>
      </c>
      <c r="C9" s="1400"/>
      <c r="D9" s="1316">
        <f>[2]rapkvart!S270</f>
        <v>3.6</v>
      </c>
      <c r="E9" s="1316">
        <f>[2]rapkvart!T270</f>
        <v>2.2999999999999998</v>
      </c>
      <c r="F9" s="1316">
        <f>[2]rapkvart!U270</f>
        <v>1.8</v>
      </c>
      <c r="G9" s="1316">
        <f>[2]rapkvart!V270</f>
        <v>3.3</v>
      </c>
      <c r="H9" s="1316">
        <f>[2]rapkvart!O270</f>
        <v>-4.4000000000000004</v>
      </c>
      <c r="I9" s="1316">
        <f>[2]rapkvart!P270</f>
        <v>-2.5</v>
      </c>
      <c r="J9" s="1316">
        <f>[2]rapkvart!Q270</f>
        <v>-3.1</v>
      </c>
      <c r="K9" s="1316">
        <f>[2]rapkvart!R270</f>
        <v>-4.5</v>
      </c>
      <c r="L9" s="1316">
        <f>[2]rapkvart!K270</f>
        <v>0.6</v>
      </c>
      <c r="M9" s="1316">
        <f>[2]rapkvart!L270</f>
        <v>1.4</v>
      </c>
      <c r="N9" s="1316">
        <f>[2]rapkvart!M270</f>
        <v>-3.1</v>
      </c>
      <c r="O9" s="1316">
        <f>[2]rapkvart!N270</f>
        <v>-4.5</v>
      </c>
      <c r="P9" s="1271"/>
      <c r="Q9" s="1316">
        <f t="shared" ref="Q9:Q12" si="8">D9</f>
        <v>3.6</v>
      </c>
      <c r="R9" s="1420">
        <f t="shared" ref="R9:R12" si="9">E9-D9</f>
        <v>-1.3000000000000003</v>
      </c>
      <c r="S9" s="1420">
        <f t="shared" si="3"/>
        <v>-0.49999999999999978</v>
      </c>
      <c r="T9" s="1420">
        <f t="shared" si="3"/>
        <v>1.4999999999999998</v>
      </c>
      <c r="U9" s="1316">
        <f t="shared" ref="U9:U12" si="10">H9</f>
        <v>-4.4000000000000004</v>
      </c>
      <c r="V9" s="1420">
        <f t="shared" ref="V9:V12" si="11">I9-H9</f>
        <v>1.9000000000000004</v>
      </c>
      <c r="W9" s="1420">
        <f t="shared" si="4"/>
        <v>-0.60000000000000009</v>
      </c>
      <c r="X9" s="1420">
        <f t="shared" si="5"/>
        <v>-1.4</v>
      </c>
      <c r="Y9" s="1316">
        <f t="shared" ref="Y9:Y12" si="12">L9</f>
        <v>0.6</v>
      </c>
      <c r="Z9" s="1420">
        <f t="shared" ref="Z9:Z12" si="13">M9-L9</f>
        <v>0.79999999999999993</v>
      </c>
      <c r="AA9" s="1420">
        <f t="shared" si="6"/>
        <v>-4.5</v>
      </c>
      <c r="AB9" s="1420">
        <f t="shared" si="6"/>
        <v>-1.4</v>
      </c>
      <c r="AD9" s="700" t="str">
        <f>+[2]rapkvart!B270</f>
        <v>Orealiserade kursomvärderingar valutalån (vinst neg, förlust pos)</v>
      </c>
      <c r="AE9" s="1201">
        <f t="shared" ref="AE9:AE12" si="14">Z9</f>
        <v>0.79999999999999993</v>
      </c>
      <c r="AF9" s="1202">
        <f t="shared" ref="AF9:AF12" si="15">V9</f>
        <v>1.9000000000000004</v>
      </c>
      <c r="AG9" s="1201">
        <f t="shared" ref="AG9:AG12" si="16">SUM(Y9:Z9)</f>
        <v>1.4</v>
      </c>
      <c r="AH9" s="1202">
        <f t="shared" ref="AH9:AH12" si="17">SUM(U9:V9)</f>
        <v>-2.5</v>
      </c>
      <c r="AI9" s="1201">
        <f t="shared" ref="AI9:AI12" si="18">SUM(W9:Z9)</f>
        <v>-0.6</v>
      </c>
      <c r="AJ9" s="1202">
        <f t="shared" ref="AJ9:AJ12" si="19">SUM(U9:X9)</f>
        <v>-4.5</v>
      </c>
      <c r="AL9" s="700" t="str">
        <f>+[2]rapkvart!$A$270</f>
        <v>Unrealized exchange rate revaluation of financial items (gain neg, loss pos)</v>
      </c>
      <c r="AM9" s="1201">
        <f t="shared" si="7"/>
        <v>0.79999999999999993</v>
      </c>
      <c r="AN9" s="1202">
        <f t="shared" si="7"/>
        <v>1.9000000000000004</v>
      </c>
      <c r="AO9" s="1201">
        <f t="shared" si="7"/>
        <v>1.4</v>
      </c>
      <c r="AP9" s="1202">
        <f t="shared" si="7"/>
        <v>-2.5</v>
      </c>
      <c r="AQ9" s="1201">
        <f t="shared" si="7"/>
        <v>-0.6</v>
      </c>
      <c r="AR9" s="1202">
        <f t="shared" si="7"/>
        <v>-4.5</v>
      </c>
    </row>
    <row r="10" spans="2:44" ht="9" customHeight="1" x14ac:dyDescent="0.15">
      <c r="B10" s="1400" t="s">
        <v>700</v>
      </c>
      <c r="C10" s="1400"/>
      <c r="D10" s="1316">
        <f>[2]rapkvart!S271</f>
        <v>2.6</v>
      </c>
      <c r="E10" s="1316">
        <f>[2]rapkvart!T271</f>
        <v>5.0999999999999996</v>
      </c>
      <c r="F10" s="1316">
        <f>[2]rapkvart!U271</f>
        <v>14</v>
      </c>
      <c r="G10" s="1316">
        <f>[2]rapkvart!V271</f>
        <v>15.8</v>
      </c>
      <c r="H10" s="1316">
        <f>[2]rapkvart!O271</f>
        <v>1.2</v>
      </c>
      <c r="I10" s="1316">
        <f>[2]rapkvart!P271</f>
        <v>2.2999999999999998</v>
      </c>
      <c r="J10" s="1316">
        <f>[2]rapkvart!Q271</f>
        <v>3.4</v>
      </c>
      <c r="K10" s="1316">
        <f>[2]rapkvart!R271</f>
        <v>4.0999999999999996</v>
      </c>
      <c r="L10" s="1316">
        <f>[2]rapkvart!K271</f>
        <v>0.7</v>
      </c>
      <c r="M10" s="1316">
        <f>[2]rapkvart!L271</f>
        <v>1.1000000000000001</v>
      </c>
      <c r="N10" s="1316">
        <f>[2]rapkvart!M271</f>
        <v>3.4</v>
      </c>
      <c r="O10" s="1316">
        <f>[2]rapkvart!N271</f>
        <v>4.0999999999999996</v>
      </c>
      <c r="P10" s="1271"/>
      <c r="Q10" s="1316">
        <f t="shared" si="8"/>
        <v>2.6</v>
      </c>
      <c r="R10" s="1420">
        <f t="shared" si="9"/>
        <v>2.4999999999999996</v>
      </c>
      <c r="S10" s="1420">
        <f t="shared" si="3"/>
        <v>8.9</v>
      </c>
      <c r="T10" s="1420">
        <f t="shared" si="3"/>
        <v>1.8000000000000007</v>
      </c>
      <c r="U10" s="1316">
        <f t="shared" si="10"/>
        <v>1.2</v>
      </c>
      <c r="V10" s="1420">
        <f t="shared" si="11"/>
        <v>1.0999999999999999</v>
      </c>
      <c r="W10" s="1420">
        <f t="shared" si="4"/>
        <v>1.1000000000000001</v>
      </c>
      <c r="X10" s="1420">
        <f t="shared" si="5"/>
        <v>0.69999999999999973</v>
      </c>
      <c r="Y10" s="1316">
        <f t="shared" si="12"/>
        <v>0.7</v>
      </c>
      <c r="Z10" s="1420">
        <f t="shared" si="13"/>
        <v>0.40000000000000013</v>
      </c>
      <c r="AA10" s="1420">
        <f t="shared" si="6"/>
        <v>2.2999999999999998</v>
      </c>
      <c r="AB10" s="1420">
        <f t="shared" si="6"/>
        <v>0.69999999999999973</v>
      </c>
      <c r="AD10" s="700" t="str">
        <f>+[2]rapkvart!B271</f>
        <v>Kostnad för pandemirelaterat anstånd</v>
      </c>
      <c r="AE10" s="1201">
        <f t="shared" si="14"/>
        <v>0.40000000000000013</v>
      </c>
      <c r="AF10" s="1202">
        <f t="shared" si="15"/>
        <v>1.0999999999999999</v>
      </c>
      <c r="AG10" s="1201">
        <f t="shared" si="16"/>
        <v>1.1000000000000001</v>
      </c>
      <c r="AH10" s="1202">
        <f t="shared" si="17"/>
        <v>2.2999999999999998</v>
      </c>
      <c r="AI10" s="1201">
        <f t="shared" si="18"/>
        <v>2.9000000000000004</v>
      </c>
      <c r="AJ10" s="1202">
        <f t="shared" si="19"/>
        <v>4.0999999999999996</v>
      </c>
      <c r="AL10" s="700" t="str">
        <f>+[2]rapkvart!$A$271</f>
        <v>Cost for pandemic suspension of collection*</v>
      </c>
      <c r="AM10" s="1201">
        <f t="shared" si="7"/>
        <v>0.40000000000000013</v>
      </c>
      <c r="AN10" s="1202">
        <f t="shared" si="7"/>
        <v>1.0999999999999999</v>
      </c>
      <c r="AO10" s="1201">
        <f t="shared" si="7"/>
        <v>1.1000000000000001</v>
      </c>
      <c r="AP10" s="1202">
        <f t="shared" si="7"/>
        <v>2.2999999999999998</v>
      </c>
      <c r="AQ10" s="1201">
        <f t="shared" si="7"/>
        <v>2.9000000000000004</v>
      </c>
      <c r="AR10" s="1202">
        <f t="shared" si="7"/>
        <v>4.0999999999999996</v>
      </c>
    </row>
    <row r="11" spans="2:44" ht="9" customHeight="1" thickBot="1" x14ac:dyDescent="0.2">
      <c r="B11" s="1407" t="s">
        <v>701</v>
      </c>
      <c r="C11" s="1407"/>
      <c r="D11" s="1317">
        <f>[2]rapkvart!S272</f>
        <v>0.9</v>
      </c>
      <c r="E11" s="1317">
        <f>[2]rapkvart!T272</f>
        <v>2.2999999999999998</v>
      </c>
      <c r="F11" s="1317">
        <f>[2]rapkvart!U272</f>
        <v>3.5</v>
      </c>
      <c r="G11" s="1317">
        <f>[2]rapkvart!V272</f>
        <v>5.4</v>
      </c>
      <c r="H11" s="1317">
        <f>[2]rapkvart!O272</f>
        <v>0.7</v>
      </c>
      <c r="I11" s="1317">
        <f>[2]rapkvart!P272</f>
        <v>2.8</v>
      </c>
      <c r="J11" s="1317">
        <f>[2]rapkvart!Q272</f>
        <v>3</v>
      </c>
      <c r="K11" s="1317">
        <f>[2]rapkvart!R272</f>
        <v>3.3</v>
      </c>
      <c r="L11" s="1317">
        <f>[2]rapkvart!K272</f>
        <v>0.4</v>
      </c>
      <c r="M11" s="1317">
        <f>[2]rapkvart!L272</f>
        <v>1.3</v>
      </c>
      <c r="N11" s="1317">
        <f>[2]rapkvart!M272</f>
        <v>3</v>
      </c>
      <c r="O11" s="1317">
        <f>[2]rapkvart!N272</f>
        <v>3.3</v>
      </c>
      <c r="P11" s="1271"/>
      <c r="Q11" s="1317">
        <f t="shared" si="8"/>
        <v>0.9</v>
      </c>
      <c r="R11" s="1421">
        <f t="shared" si="9"/>
        <v>1.4</v>
      </c>
      <c r="S11" s="1421">
        <f t="shared" si="3"/>
        <v>1.2000000000000002</v>
      </c>
      <c r="T11" s="1421">
        <f t="shared" si="3"/>
        <v>1.9000000000000004</v>
      </c>
      <c r="U11" s="1317">
        <f t="shared" si="10"/>
        <v>0.7</v>
      </c>
      <c r="V11" s="1421">
        <f t="shared" si="11"/>
        <v>2.0999999999999996</v>
      </c>
      <c r="W11" s="1421">
        <f t="shared" si="4"/>
        <v>0.20000000000000018</v>
      </c>
      <c r="X11" s="1421">
        <f t="shared" si="5"/>
        <v>0.29999999999999982</v>
      </c>
      <c r="Y11" s="1317">
        <f t="shared" si="12"/>
        <v>0.4</v>
      </c>
      <c r="Z11" s="1421">
        <f t="shared" si="13"/>
        <v>0.9</v>
      </c>
      <c r="AA11" s="1421">
        <f t="shared" si="6"/>
        <v>1.7</v>
      </c>
      <c r="AB11" s="1421">
        <f t="shared" si="6"/>
        <v>0.29999999999999982</v>
      </c>
      <c r="AD11" s="1747" t="str">
        <f>+[2]rapkvart!B272</f>
        <v>Övriga finansiella kostnader</v>
      </c>
      <c r="AE11" s="1748">
        <f t="shared" si="14"/>
        <v>0.9</v>
      </c>
      <c r="AF11" s="1749">
        <f t="shared" si="15"/>
        <v>2.0999999999999996</v>
      </c>
      <c r="AG11" s="1748">
        <f t="shared" si="16"/>
        <v>1.3</v>
      </c>
      <c r="AH11" s="1749">
        <f t="shared" si="17"/>
        <v>2.8</v>
      </c>
      <c r="AI11" s="1748">
        <f t="shared" si="18"/>
        <v>1.8</v>
      </c>
      <c r="AJ11" s="1749">
        <f t="shared" si="19"/>
        <v>3.3</v>
      </c>
      <c r="AL11" s="1747" t="str">
        <f>+[2]rapkvart!$A$272</f>
        <v>Other financial expenses</v>
      </c>
      <c r="AM11" s="1748">
        <f t="shared" si="7"/>
        <v>0.9</v>
      </c>
      <c r="AN11" s="1749">
        <f t="shared" si="7"/>
        <v>2.0999999999999996</v>
      </c>
      <c r="AO11" s="1748">
        <f t="shared" si="7"/>
        <v>1.3</v>
      </c>
      <c r="AP11" s="1749">
        <f t="shared" si="7"/>
        <v>2.8</v>
      </c>
      <c r="AQ11" s="1748">
        <f t="shared" si="7"/>
        <v>1.8</v>
      </c>
      <c r="AR11" s="1749">
        <f t="shared" si="7"/>
        <v>3.3</v>
      </c>
    </row>
    <row r="12" spans="2:44" x14ac:dyDescent="0.15">
      <c r="B12" s="1401" t="s">
        <v>695</v>
      </c>
      <c r="C12" s="1401"/>
      <c r="D12" s="1318">
        <f>[2]rapkvart!S273</f>
        <v>9.1</v>
      </c>
      <c r="E12" s="1318">
        <f>[2]rapkvart!T273</f>
        <v>13.8</v>
      </c>
      <c r="F12" s="1318">
        <f>[2]rapkvart!U273</f>
        <v>25.5</v>
      </c>
      <c r="G12" s="1318">
        <f>[2]rapkvart!V273</f>
        <v>31.6</v>
      </c>
      <c r="H12" s="1318">
        <f>[2]rapkvart!O273</f>
        <v>-1.0000000000000004</v>
      </c>
      <c r="I12" s="1318">
        <f>SUM(I8:I11)</f>
        <v>5.5</v>
      </c>
      <c r="J12" s="1318">
        <f>[2]rapkvart!Q273</f>
        <v>7.3999999999999995</v>
      </c>
      <c r="K12" s="1318">
        <f>[2]rapkvart!R273</f>
        <v>9.1</v>
      </c>
      <c r="L12" s="1318">
        <f>[2]rapkvart!K273</f>
        <v>3.6</v>
      </c>
      <c r="M12" s="1318">
        <f>[2]rapkvart!L273</f>
        <v>8.1</v>
      </c>
      <c r="N12" s="1318">
        <f>[2]rapkvart!M273</f>
        <v>7.3999999999999995</v>
      </c>
      <c r="O12" s="1318">
        <f>[2]rapkvart!N273</f>
        <v>9.1</v>
      </c>
      <c r="P12" s="1271"/>
      <c r="Q12" s="1318">
        <f t="shared" si="8"/>
        <v>9.1</v>
      </c>
      <c r="R12" s="1422">
        <f t="shared" si="9"/>
        <v>4.7000000000000011</v>
      </c>
      <c r="S12" s="1422">
        <f t="shared" si="3"/>
        <v>11.7</v>
      </c>
      <c r="T12" s="1422">
        <f t="shared" si="3"/>
        <v>6.1000000000000014</v>
      </c>
      <c r="U12" s="1318">
        <f t="shared" si="10"/>
        <v>-1.0000000000000004</v>
      </c>
      <c r="V12" s="1422">
        <f t="shared" si="11"/>
        <v>6.5</v>
      </c>
      <c r="W12" s="1422">
        <f t="shared" si="4"/>
        <v>1.8999999999999995</v>
      </c>
      <c r="X12" s="1422">
        <f t="shared" si="5"/>
        <v>1.7000000000000002</v>
      </c>
      <c r="Y12" s="1318">
        <f t="shared" si="12"/>
        <v>3.6</v>
      </c>
      <c r="Z12" s="1422">
        <f t="shared" si="13"/>
        <v>4.5</v>
      </c>
      <c r="AA12" s="1422">
        <f t="shared" si="6"/>
        <v>-0.70000000000000018</v>
      </c>
      <c r="AB12" s="1422">
        <f t="shared" si="6"/>
        <v>1.7000000000000002</v>
      </c>
      <c r="AD12" s="786" t="str">
        <f>+[2]rapkvart!B273</f>
        <v>Totalt</v>
      </c>
      <c r="AE12" s="1741">
        <f t="shared" si="14"/>
        <v>4.5</v>
      </c>
      <c r="AF12" s="1740">
        <f t="shared" si="15"/>
        <v>6.5</v>
      </c>
      <c r="AG12" s="1741">
        <f t="shared" si="16"/>
        <v>8.1</v>
      </c>
      <c r="AH12" s="1740">
        <f t="shared" si="17"/>
        <v>5.5</v>
      </c>
      <c r="AI12" s="1741">
        <f t="shared" si="18"/>
        <v>11.7</v>
      </c>
      <c r="AJ12" s="1740">
        <f t="shared" si="19"/>
        <v>9.1</v>
      </c>
      <c r="AL12" s="786" t="s">
        <v>360</v>
      </c>
      <c r="AM12" s="1741">
        <f t="shared" si="7"/>
        <v>4.5</v>
      </c>
      <c r="AN12" s="1740">
        <f t="shared" si="7"/>
        <v>6.5</v>
      </c>
      <c r="AO12" s="1741">
        <f t="shared" si="7"/>
        <v>8.1</v>
      </c>
      <c r="AP12" s="1740">
        <f t="shared" si="7"/>
        <v>5.5</v>
      </c>
      <c r="AQ12" s="1741">
        <f t="shared" si="7"/>
        <v>11.7</v>
      </c>
      <c r="AR12" s="1740">
        <f t="shared" si="7"/>
        <v>9.1</v>
      </c>
    </row>
    <row r="14" spans="2:44" x14ac:dyDescent="0.15">
      <c r="B14" s="1946" t="s">
        <v>181</v>
      </c>
      <c r="C14" s="1947"/>
      <c r="D14" s="1947">
        <f>SUM(D8:D11)-D12</f>
        <v>0</v>
      </c>
      <c r="E14" s="1947">
        <f t="shared" ref="E14:O14" si="20">SUM(E8:E11)-E12</f>
        <v>0</v>
      </c>
      <c r="F14" s="1947">
        <f t="shared" si="20"/>
        <v>0</v>
      </c>
      <c r="G14" s="1947">
        <f t="shared" si="20"/>
        <v>0</v>
      </c>
      <c r="H14" s="1947">
        <f t="shared" si="20"/>
        <v>0</v>
      </c>
      <c r="I14" s="1947">
        <f t="shared" si="20"/>
        <v>0</v>
      </c>
      <c r="J14" s="1947">
        <f t="shared" si="20"/>
        <v>0</v>
      </c>
      <c r="K14" s="1947">
        <f t="shared" si="20"/>
        <v>0</v>
      </c>
      <c r="L14" s="1947">
        <f t="shared" si="20"/>
        <v>0</v>
      </c>
      <c r="M14" s="1947">
        <f t="shared" si="20"/>
        <v>0</v>
      </c>
      <c r="N14" s="1947">
        <f t="shared" si="20"/>
        <v>0</v>
      </c>
      <c r="O14" s="1947">
        <f t="shared" si="20"/>
        <v>0</v>
      </c>
      <c r="Q14" s="1947">
        <f>SUM(Q8:Q11)-Q12</f>
        <v>0</v>
      </c>
      <c r="R14" s="1947">
        <f t="shared" ref="R14:AB14" si="21">SUM(R8:R11)-R12</f>
        <v>0</v>
      </c>
      <c r="S14" s="1947">
        <f t="shared" si="21"/>
        <v>0</v>
      </c>
      <c r="T14" s="1947">
        <f t="shared" si="21"/>
        <v>0</v>
      </c>
      <c r="U14" s="1947">
        <f t="shared" si="21"/>
        <v>0</v>
      </c>
      <c r="V14" s="1947">
        <f t="shared" si="21"/>
        <v>0</v>
      </c>
      <c r="W14" s="1947">
        <f t="shared" si="21"/>
        <v>0</v>
      </c>
      <c r="X14" s="1947">
        <f t="shared" si="21"/>
        <v>0</v>
      </c>
      <c r="Y14" s="1947">
        <f t="shared" si="21"/>
        <v>0</v>
      </c>
      <c r="Z14" s="1947">
        <f t="shared" si="21"/>
        <v>0</v>
      </c>
      <c r="AA14" s="1947">
        <f t="shared" si="21"/>
        <v>0</v>
      </c>
      <c r="AB14" s="1947">
        <f t="shared" si="21"/>
        <v>0</v>
      </c>
      <c r="AD14" s="1946" t="s">
        <v>181</v>
      </c>
      <c r="AE14" s="1947">
        <f>SUM(AE8:AE11)-AE12</f>
        <v>0</v>
      </c>
      <c r="AF14" s="1947">
        <f t="shared" ref="AF14:AJ14" si="22">SUM(AF8:AF11)-AF12</f>
        <v>0</v>
      </c>
      <c r="AG14" s="1947">
        <f t="shared" si="22"/>
        <v>0</v>
      </c>
      <c r="AH14" s="1947">
        <f t="shared" si="22"/>
        <v>0</v>
      </c>
      <c r="AI14" s="1947">
        <f t="shared" si="22"/>
        <v>0</v>
      </c>
      <c r="AJ14" s="1947">
        <f t="shared" si="22"/>
        <v>0</v>
      </c>
      <c r="AL14" s="1946" t="s">
        <v>181</v>
      </c>
      <c r="AM14" s="1947">
        <f>SUM(AM8:AM11)-AM12</f>
        <v>0</v>
      </c>
      <c r="AN14" s="1947">
        <f t="shared" ref="AN14:AR14" si="23">SUM(AN8:AN11)-AN12</f>
        <v>0</v>
      </c>
      <c r="AO14" s="1947">
        <f t="shared" si="23"/>
        <v>0</v>
      </c>
      <c r="AP14" s="1947">
        <f t="shared" si="23"/>
        <v>0</v>
      </c>
      <c r="AQ14" s="1947">
        <f t="shared" si="23"/>
        <v>0</v>
      </c>
      <c r="AR14" s="1947">
        <f t="shared" si="23"/>
        <v>0</v>
      </c>
    </row>
    <row r="17" spans="30:36" x14ac:dyDescent="0.15">
      <c r="AD17" s="260"/>
      <c r="AE17" s="261" t="str">
        <f>'Koncern RR '!AX10</f>
        <v>Kvartal 2</v>
      </c>
      <c r="AF17" s="261" t="str">
        <f>'Koncern RR '!AY10</f>
        <v>Kvartal 2</v>
      </c>
      <c r="AG17" s="261" t="str">
        <f>'Koncern RR '!AZ10</f>
        <v>Kvartal 1-2</v>
      </c>
      <c r="AH17" s="261" t="str">
        <f>'Koncern RR '!BA10</f>
        <v>Kvartal 1-2</v>
      </c>
      <c r="AI17" s="261" t="str">
        <f>'Koncern RR '!BB10</f>
        <v>Kvartal 2, R12</v>
      </c>
      <c r="AJ17" s="261" t="str">
        <f>'Koncern RR '!BC10</f>
        <v>Helår</v>
      </c>
    </row>
    <row r="18" spans="30:36" x14ac:dyDescent="0.15">
      <c r="AD18" s="273"/>
      <c r="AE18" s="948">
        <f>'Koncern RR '!AX11</f>
        <v>2026</v>
      </c>
      <c r="AF18" s="948">
        <f>'Koncern RR '!AY11</f>
        <v>2025</v>
      </c>
      <c r="AG18" s="948">
        <f>'Koncern RR '!AZ11</f>
        <v>2026</v>
      </c>
      <c r="AH18" s="948">
        <f>'Koncern RR '!BA11</f>
        <v>2025</v>
      </c>
      <c r="AI18" s="948">
        <f>'Koncern RR '!BB11</f>
        <v>2026</v>
      </c>
      <c r="AJ18" s="948">
        <f>'Koncern RR '!BC11</f>
        <v>2025</v>
      </c>
    </row>
    <row r="19" spans="30:36" x14ac:dyDescent="0.15">
      <c r="AD19" s="1402" t="s">
        <v>858</v>
      </c>
      <c r="AE19" s="1950">
        <f>'Koncern RR '!AX27</f>
        <v>-4.5</v>
      </c>
      <c r="AF19" s="1950">
        <f>'Koncern RR '!AY27</f>
        <v>-6</v>
      </c>
      <c r="AG19" s="1950">
        <f>'Koncern RR '!AZ27</f>
        <v>-8.1</v>
      </c>
      <c r="AH19" s="1950">
        <f>'Koncern RR '!BA27</f>
        <v>-5</v>
      </c>
      <c r="AI19" s="1950">
        <f>'Koncern RR '!BB27</f>
        <v>-12.2</v>
      </c>
      <c r="AJ19" s="1950">
        <f>'Koncern RR '!BC27</f>
        <v>-9.1</v>
      </c>
    </row>
    <row r="21" spans="30:36" x14ac:dyDescent="0.15">
      <c r="AD21" s="1946" t="s">
        <v>181</v>
      </c>
      <c r="AE21" s="1947">
        <f>(AE19*-1)-AE12</f>
        <v>0</v>
      </c>
      <c r="AF21" s="1947">
        <f t="shared" ref="AF21:AJ21" si="24">(AF19*-1)-AF12</f>
        <v>-0.5</v>
      </c>
      <c r="AG21" s="1947">
        <f t="shared" si="24"/>
        <v>0</v>
      </c>
      <c r="AH21" s="1947">
        <f t="shared" si="24"/>
        <v>-0.5</v>
      </c>
      <c r="AI21" s="1947">
        <f t="shared" si="24"/>
        <v>0.5</v>
      </c>
      <c r="AJ21" s="1947">
        <f t="shared" si="24"/>
        <v>0</v>
      </c>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B1:Z24"/>
  <sheetViews>
    <sheetView workbookViewId="0"/>
    <sheetView workbookViewId="1"/>
  </sheetViews>
  <sheetFormatPr defaultColWidth="9.140625" defaultRowHeight="9" outlineLevelCol="1" x14ac:dyDescent="0.15"/>
  <cols>
    <col min="1" max="1" width="9.140625" style="259"/>
    <col min="2" max="2" width="40.7109375" style="259" customWidth="1"/>
    <col min="3" max="4" width="5.140625" style="259" customWidth="1"/>
    <col min="5" max="6" width="5.140625" style="259" customWidth="1" outlineLevel="1"/>
    <col min="7" max="14" width="5.140625" style="259" customWidth="1"/>
    <col min="15" max="15" width="6.28515625" style="259" bestFit="1" customWidth="1"/>
    <col min="16" max="16" width="39.85546875" style="259" customWidth="1"/>
    <col min="17" max="19" width="9.28515625" style="259" customWidth="1"/>
    <col min="20" max="20" width="9.140625" style="259"/>
    <col min="21" max="21" width="44" style="259" customWidth="1"/>
    <col min="22" max="24" width="9.28515625" style="259" customWidth="1"/>
    <col min="25" max="16384" width="9.140625" style="259"/>
  </cols>
  <sheetData>
    <row r="1" spans="2:26" x14ac:dyDescent="0.15">
      <c r="B1" s="1930"/>
      <c r="C1" s="1930"/>
      <c r="D1" s="1930"/>
      <c r="E1" s="1930"/>
      <c r="F1" s="1930"/>
      <c r="G1" s="1930"/>
      <c r="H1" s="1930"/>
      <c r="I1" s="1930"/>
      <c r="J1" s="1930"/>
      <c r="K1" s="1930"/>
      <c r="L1" s="1930"/>
      <c r="M1" s="1930"/>
      <c r="N1" s="1930"/>
      <c r="P1" s="1930"/>
      <c r="Q1" s="1930"/>
      <c r="R1" s="1930"/>
      <c r="S1" s="1930"/>
      <c r="U1" s="1930"/>
      <c r="V1" s="1930"/>
      <c r="W1" s="1930"/>
      <c r="X1" s="1930"/>
    </row>
    <row r="3" spans="2:26" ht="15" x14ac:dyDescent="0.25">
      <c r="B3" s="794" t="s">
        <v>687</v>
      </c>
      <c r="C3" s="794"/>
      <c r="D3" s="271"/>
      <c r="E3" s="271"/>
      <c r="F3" s="271"/>
      <c r="G3" s="271"/>
      <c r="H3" s="271"/>
      <c r="I3" s="271"/>
      <c r="J3" s="271"/>
      <c r="K3" s="271"/>
      <c r="L3" s="271"/>
      <c r="M3" s="271"/>
      <c r="N3" s="271"/>
      <c r="P3" s="794" t="s">
        <v>688</v>
      </c>
      <c r="Q3" s="794"/>
      <c r="R3" s="271"/>
      <c r="S3" s="271"/>
      <c r="U3" s="794" t="s">
        <v>689</v>
      </c>
      <c r="V3" s="271"/>
      <c r="W3" s="271"/>
      <c r="X3" s="271"/>
      <c r="Y3" s="271"/>
      <c r="Z3" s="271"/>
    </row>
    <row r="5" spans="2:26" ht="25.5" customHeight="1" x14ac:dyDescent="0.15">
      <c r="B5" s="780" t="s">
        <v>702</v>
      </c>
      <c r="C5" s="477"/>
      <c r="D5" s="477"/>
      <c r="E5" s="477"/>
      <c r="F5" s="477"/>
      <c r="G5" s="477"/>
      <c r="H5" s="477"/>
      <c r="I5" s="477"/>
      <c r="J5" s="477"/>
      <c r="K5" s="477"/>
      <c r="L5" s="477"/>
      <c r="M5" s="477"/>
      <c r="N5" s="477"/>
      <c r="P5" s="780" t="str">
        <f>+[2]rapkvart!$B$285</f>
        <v>Not 5 - Koncernens finansiella instrument värderade till verkligt värde i rapporten över finansiell ställning</v>
      </c>
      <c r="U5" s="780" t="str">
        <f>+[2]rapkvart!$A$285</f>
        <v>Note 5 - Financial instruments, valued at fair value in statement of financial position</v>
      </c>
    </row>
    <row r="6" spans="2:26" ht="11.25" customHeight="1" x14ac:dyDescent="0.15">
      <c r="B6" s="511"/>
      <c r="C6" s="261" t="s">
        <v>159</v>
      </c>
      <c r="D6" s="261" t="s">
        <v>159</v>
      </c>
      <c r="E6" s="261" t="s">
        <v>159</v>
      </c>
      <c r="F6" s="261" t="s">
        <v>159</v>
      </c>
      <c r="G6" s="261" t="s">
        <v>159</v>
      </c>
      <c r="H6" s="261" t="s">
        <v>159</v>
      </c>
      <c r="I6" s="261" t="s">
        <v>159</v>
      </c>
      <c r="J6" s="261" t="s">
        <v>159</v>
      </c>
      <c r="K6" s="261" t="s">
        <v>159</v>
      </c>
      <c r="L6" s="261" t="s">
        <v>159</v>
      </c>
      <c r="M6" s="261" t="s">
        <v>159</v>
      </c>
      <c r="N6" s="261" t="s">
        <v>159</v>
      </c>
      <c r="P6" s="260"/>
      <c r="Q6" s="261" t="str">
        <f>+[2]rapkvart!F286</f>
        <v>30 jun</v>
      </c>
      <c r="R6" s="261" t="str">
        <f>+[2]rapkvart!G286</f>
        <v>30 jun</v>
      </c>
      <c r="S6" s="261" t="str">
        <f>+[2]rapkvart!I286</f>
        <v>31 dec</v>
      </c>
      <c r="U6" s="260"/>
      <c r="V6" s="261" t="str">
        <f>Q6</f>
        <v>30 jun</v>
      </c>
      <c r="W6" s="261" t="str">
        <f>R6</f>
        <v>30 jun</v>
      </c>
      <c r="X6" s="261" t="str">
        <f>S6</f>
        <v>31 dec</v>
      </c>
    </row>
    <row r="7" spans="2:26" x14ac:dyDescent="0.15">
      <c r="B7" s="1411" t="s">
        <v>221</v>
      </c>
      <c r="C7" s="275">
        <v>2403</v>
      </c>
      <c r="D7" s="275">
        <f>C7+3</f>
        <v>2406</v>
      </c>
      <c r="E7" s="275">
        <f t="shared" ref="E7:F7" si="0">D7+3</f>
        <v>2409</v>
      </c>
      <c r="F7" s="275">
        <f t="shared" si="0"/>
        <v>2412</v>
      </c>
      <c r="G7" s="275">
        <f>C7+100</f>
        <v>2503</v>
      </c>
      <c r="H7" s="275">
        <f t="shared" ref="H7:N7" si="1">D7+100</f>
        <v>2506</v>
      </c>
      <c r="I7" s="275">
        <f t="shared" si="1"/>
        <v>2509</v>
      </c>
      <c r="J7" s="275">
        <f t="shared" si="1"/>
        <v>2512</v>
      </c>
      <c r="K7" s="275">
        <f t="shared" si="1"/>
        <v>2603</v>
      </c>
      <c r="L7" s="275">
        <f t="shared" si="1"/>
        <v>2606</v>
      </c>
      <c r="M7" s="275">
        <f t="shared" si="1"/>
        <v>2609</v>
      </c>
      <c r="N7" s="275">
        <f t="shared" si="1"/>
        <v>2612</v>
      </c>
      <c r="P7" s="273" t="str">
        <f>+[2]rapkvart!$B287</f>
        <v>Mkr</v>
      </c>
      <c r="Q7" s="948">
        <f>+[2]rapkvart!F287</f>
        <v>2026</v>
      </c>
      <c r="R7" s="948">
        <f>+[2]rapkvart!G287</f>
        <v>2025</v>
      </c>
      <c r="S7" s="948">
        <f>+[2]rapkvart!I287</f>
        <v>2025</v>
      </c>
      <c r="U7" s="273" t="str">
        <f>+[2]rapkvart!$A287</f>
        <v>MSEK</v>
      </c>
      <c r="V7" s="948">
        <v>2026</v>
      </c>
      <c r="W7" s="948">
        <v>2025</v>
      </c>
      <c r="X7" s="948">
        <v>2025</v>
      </c>
    </row>
    <row r="8" spans="2:26" ht="9" customHeight="1" x14ac:dyDescent="0.15">
      <c r="B8" s="1409" t="s">
        <v>611</v>
      </c>
      <c r="C8" s="1409"/>
      <c r="D8" s="1409"/>
      <c r="E8" s="1409"/>
      <c r="F8" s="1409"/>
      <c r="G8" s="1409"/>
      <c r="H8" s="1409"/>
      <c r="I8" s="1409"/>
      <c r="J8" s="1409"/>
      <c r="K8" s="1409"/>
      <c r="L8" s="1409"/>
      <c r="M8" s="1409"/>
      <c r="N8" s="1409"/>
      <c r="P8" s="259" t="str">
        <f>+[2]rapkvart!$B288</f>
        <v>Kortfristiga fordringar</v>
      </c>
      <c r="Q8" s="471"/>
      <c r="S8" s="1720"/>
      <c r="U8" s="781" t="str">
        <f>+[2]rapkvart!$A288</f>
        <v>Short-term receivables:</v>
      </c>
      <c r="V8" s="686"/>
      <c r="W8" s="781"/>
      <c r="X8" s="1720"/>
    </row>
    <row r="9" spans="2:26" hidden="1" x14ac:dyDescent="0.15">
      <c r="B9" s="1410" t="s">
        <v>555</v>
      </c>
      <c r="C9" s="1320">
        <f>[2]rapkvart!S7</f>
        <v>-504</v>
      </c>
      <c r="D9" s="1320">
        <f>[2]rapkvart!T7</f>
        <v>-1018.3</v>
      </c>
      <c r="E9" s="1320">
        <f>[2]rapkvart!U7</f>
        <v>-1462.2</v>
      </c>
      <c r="F9" s="1320">
        <f>[2]rapkvart!V7</f>
        <v>-1976.7</v>
      </c>
      <c r="G9" s="1320">
        <f>[2]rapkvart!O7</f>
        <v>-547.79999999999995</v>
      </c>
      <c r="H9" s="1320">
        <f>[2]rapkvart!P7</f>
        <v>-1142.5</v>
      </c>
      <c r="I9" s="1320">
        <f>[2]rapkvart!Q7</f>
        <v>-1582.4</v>
      </c>
      <c r="J9" s="1320">
        <f>[2]rapkvart!R7</f>
        <v>-2041.4</v>
      </c>
      <c r="K9" s="1320">
        <f>[2]rapkvart!K7</f>
        <v>-519.70000000000005</v>
      </c>
      <c r="L9" s="1320">
        <f>[2]rapkvart!L7</f>
        <v>-1072.0999999999999</v>
      </c>
      <c r="M9" s="1320">
        <f>[2]rapkvart!M7</f>
        <v>-1582.4</v>
      </c>
      <c r="N9" s="1320">
        <f>[2]rapkvart!N7</f>
        <v>-2041.4</v>
      </c>
      <c r="P9" s="516" t="str">
        <f>+[2]rapkvart!$B289</f>
        <v>Råvaruderivat</v>
      </c>
      <c r="Q9" s="684">
        <f>+[2]rapkvart!F289</f>
        <v>0</v>
      </c>
      <c r="R9" s="519">
        <f>+[2]rapkvart!G289</f>
        <v>0</v>
      </c>
      <c r="S9" s="2035">
        <f>+[2]rapkvart!I289</f>
        <v>0</v>
      </c>
      <c r="U9" s="782" t="s">
        <v>555</v>
      </c>
      <c r="V9" s="686">
        <v>0</v>
      </c>
      <c r="W9" s="685">
        <v>0</v>
      </c>
      <c r="X9" s="2035">
        <v>0</v>
      </c>
    </row>
    <row r="10" spans="2:26" ht="9" customHeight="1" x14ac:dyDescent="0.15">
      <c r="B10" s="1410" t="s">
        <v>703</v>
      </c>
      <c r="C10" s="1319">
        <f>[2]rapkvart!S$290</f>
        <v>0</v>
      </c>
      <c r="D10" s="1319">
        <f>[2]rapkvart!T$290</f>
        <v>0.3</v>
      </c>
      <c r="E10" s="1319">
        <f>[2]rapkvart!U$290</f>
        <v>5</v>
      </c>
      <c r="F10" s="1319">
        <f>[2]rapkvart!V$290</f>
        <v>1.6</v>
      </c>
      <c r="G10" s="1319">
        <f>[2]rapkvart!O$290</f>
        <v>12.4</v>
      </c>
      <c r="H10" s="1319">
        <f>[2]rapkvart!P$290</f>
        <v>5</v>
      </c>
      <c r="I10" s="1319">
        <f>[2]rapkvart!Q$290</f>
        <v>5.3</v>
      </c>
      <c r="J10" s="1319">
        <f>[2]rapkvart!R$290</f>
        <v>6.6</v>
      </c>
      <c r="K10" s="1319">
        <f>[2]rapkvart!K$290</f>
        <v>3.7</v>
      </c>
      <c r="L10" s="1319">
        <f>[2]rapkvart!L$290</f>
        <v>1.7</v>
      </c>
      <c r="M10" s="1319">
        <f>[2]rapkvart!M$290</f>
        <v>5.3</v>
      </c>
      <c r="N10" s="1319">
        <f>[2]rapkvart!N$290</f>
        <v>6.6</v>
      </c>
      <c r="P10" s="782" t="str">
        <f>+[2]rapkvart!$B290</f>
        <v>Valutaderivat</v>
      </c>
      <c r="Q10" s="1603">
        <f>L10</f>
        <v>1.7</v>
      </c>
      <c r="R10" s="1604">
        <f>H10</f>
        <v>5</v>
      </c>
      <c r="S10" s="1606">
        <f>J10</f>
        <v>6.6</v>
      </c>
      <c r="U10" s="782" t="str">
        <f>+[2]rapkvart!$A290</f>
        <v>Currency derivatives</v>
      </c>
      <c r="V10" s="1605">
        <f>Q10</f>
        <v>1.7</v>
      </c>
      <c r="W10" s="1606">
        <f>R10</f>
        <v>5</v>
      </c>
      <c r="X10" s="1606">
        <f>S10</f>
        <v>6.6</v>
      </c>
    </row>
    <row r="11" spans="2:26" ht="9" customHeight="1" x14ac:dyDescent="0.15">
      <c r="B11" s="1409" t="s">
        <v>704</v>
      </c>
      <c r="C11" s="1319"/>
      <c r="D11" s="1319"/>
      <c r="E11" s="1319"/>
      <c r="F11" s="1319"/>
      <c r="G11" s="1319"/>
      <c r="H11" s="1319"/>
      <c r="I11" s="1319"/>
      <c r="J11" s="1319"/>
      <c r="K11" s="1319"/>
      <c r="L11" s="1319"/>
      <c r="M11" s="1319"/>
      <c r="N11" s="1319"/>
      <c r="P11" s="781" t="str">
        <f>+[2]rapkvart!$B291</f>
        <v>Kortfristiga ej räntebärande skulder</v>
      </c>
      <c r="Q11" s="949"/>
      <c r="R11" s="950"/>
      <c r="S11" s="2036"/>
      <c r="U11" s="781" t="str">
        <f>+[2]rapkvart!$A291</f>
        <v>Short-term non interest-bearing liabilities;</v>
      </c>
      <c r="V11" s="949"/>
      <c r="W11" s="950"/>
      <c r="X11" s="2036"/>
    </row>
    <row r="12" spans="2:26" hidden="1" x14ac:dyDescent="0.15">
      <c r="B12" s="1410" t="s">
        <v>555</v>
      </c>
      <c r="C12" s="1320"/>
      <c r="D12" s="1320"/>
      <c r="E12" s="1320"/>
      <c r="F12" s="1320"/>
      <c r="G12" s="1320"/>
      <c r="H12" s="1320"/>
      <c r="I12" s="1320"/>
      <c r="J12" s="1320"/>
      <c r="K12" s="1320"/>
      <c r="L12" s="1320"/>
      <c r="M12" s="1320"/>
      <c r="N12" s="1320"/>
      <c r="P12" s="782" t="str">
        <f>+[2]rapkvart!$B292</f>
        <v>Råvaruderivat</v>
      </c>
      <c r="Q12" s="949">
        <f>+[2]rapkvart!F292</f>
        <v>0</v>
      </c>
      <c r="R12" s="951">
        <f>+[2]rapkvart!G292</f>
        <v>0</v>
      </c>
      <c r="S12" s="2037">
        <f>+[2]rapkvart!H292</f>
        <v>0</v>
      </c>
      <c r="U12" s="782" t="s">
        <v>555</v>
      </c>
      <c r="V12" s="949">
        <v>0</v>
      </c>
      <c r="W12" s="951">
        <v>0</v>
      </c>
      <c r="X12" s="2037">
        <v>0</v>
      </c>
    </row>
    <row r="13" spans="2:26" ht="9" customHeight="1" x14ac:dyDescent="0.15">
      <c r="B13" s="1410" t="s">
        <v>703</v>
      </c>
      <c r="C13" s="1319">
        <f>[2]rapkvart!S$293</f>
        <v>5.3</v>
      </c>
      <c r="D13" s="1319">
        <f>[2]rapkvart!T$293</f>
        <v>2.2999999999999998</v>
      </c>
      <c r="E13" s="1319">
        <f>[2]rapkvart!U$293</f>
        <v>0.9</v>
      </c>
      <c r="F13" s="1319">
        <f>[2]rapkvart!V$293</f>
        <v>1.7</v>
      </c>
      <c r="G13" s="1319">
        <f>[2]rapkvart!O$293</f>
        <v>0</v>
      </c>
      <c r="H13" s="1319">
        <f>[2]rapkvart!P$293</f>
        <v>0.6</v>
      </c>
      <c r="I13" s="1319">
        <f>[2]rapkvart!Q$293</f>
        <v>0.1</v>
      </c>
      <c r="J13" s="1319">
        <f>[2]rapkvart!R$293</f>
        <v>0</v>
      </c>
      <c r="K13" s="1319">
        <f>[2]rapkvart!K$293</f>
        <v>0.8</v>
      </c>
      <c r="L13" s="1319">
        <f>[2]rapkvart!L$293</f>
        <v>1.2</v>
      </c>
      <c r="M13" s="1319">
        <f>[2]rapkvart!M$293</f>
        <v>0.1</v>
      </c>
      <c r="N13" s="1319">
        <f>[2]rapkvart!N$293</f>
        <v>0</v>
      </c>
      <c r="P13" s="782" t="str">
        <f>+[2]rapkvart!$B293</f>
        <v>Valutaderivat</v>
      </c>
      <c r="Q13" s="1603">
        <f>L13</f>
        <v>1.2</v>
      </c>
      <c r="R13" s="1604">
        <f>H13</f>
        <v>0.6</v>
      </c>
      <c r="S13" s="1606">
        <f>J13</f>
        <v>0</v>
      </c>
      <c r="U13" s="782" t="str">
        <f>+[2]rapkvart!$A293</f>
        <v>Currency derivatives</v>
      </c>
      <c r="V13" s="1605">
        <f>Q13</f>
        <v>1.2</v>
      </c>
      <c r="W13" s="1606">
        <f>R13</f>
        <v>0.6</v>
      </c>
      <c r="X13" s="1606">
        <f>S13</f>
        <v>0</v>
      </c>
    </row>
    <row r="14" spans="2:26" ht="9" customHeight="1" x14ac:dyDescent="0.15">
      <c r="B14" s="1409" t="s">
        <v>705</v>
      </c>
      <c r="C14" s="1321"/>
      <c r="D14" s="1321"/>
      <c r="E14" s="1321"/>
      <c r="F14" s="1321"/>
      <c r="G14" s="1321"/>
      <c r="H14" s="1321"/>
      <c r="I14" s="1321"/>
      <c r="J14" s="1321"/>
      <c r="K14" s="1321"/>
      <c r="L14" s="1321"/>
      <c r="M14" s="1321"/>
      <c r="N14" s="1321"/>
      <c r="P14" s="781" t="str">
        <f>+[2]rapkvart!$B294</f>
        <v>Valutaderivat används för säkring och är värderade på nivå 2 enligt IFRS 13.</v>
      </c>
      <c r="Q14" s="952"/>
      <c r="R14" s="953"/>
      <c r="S14" s="2038"/>
      <c r="U14" s="781" t="str">
        <f>+[2]rapkvart!$A294</f>
        <v>Currency derivatives are used for hedge and are valued on level 2 according to IFRS 13.</v>
      </c>
      <c r="V14" s="952"/>
      <c r="W14" s="953"/>
      <c r="X14" s="2038"/>
    </row>
    <row r="15" spans="2:26" ht="9" customHeight="1" x14ac:dyDescent="0.15">
      <c r="B15" s="1409"/>
      <c r="C15" s="1092"/>
      <c r="D15" s="1092"/>
      <c r="E15" s="1092"/>
      <c r="F15" s="1092"/>
      <c r="G15" s="1092"/>
      <c r="H15" s="1092"/>
      <c r="I15" s="1092"/>
      <c r="J15" s="1092"/>
      <c r="K15" s="1092"/>
      <c r="L15" s="1092"/>
      <c r="M15" s="1092"/>
      <c r="N15" s="1092"/>
      <c r="P15" s="781"/>
      <c r="Q15" s="1351"/>
      <c r="R15" s="950"/>
      <c r="S15" s="2036"/>
      <c r="U15" s="781"/>
      <c r="V15" s="1351"/>
      <c r="W15" s="950"/>
      <c r="X15" s="2036"/>
    </row>
    <row r="16" spans="2:26" hidden="1" x14ac:dyDescent="0.15">
      <c r="B16" s="1409" t="s">
        <v>556</v>
      </c>
      <c r="C16" s="1322"/>
      <c r="D16" s="1322"/>
      <c r="E16" s="1322"/>
      <c r="F16" s="1322"/>
      <c r="G16" s="1322"/>
      <c r="H16" s="1322"/>
      <c r="I16" s="1322"/>
      <c r="J16" s="1322"/>
      <c r="K16" s="1322"/>
      <c r="L16" s="1322"/>
      <c r="M16" s="1322"/>
      <c r="N16" s="1322"/>
      <c r="P16" s="781" t="str">
        <f>+[2]rapkvart!$B296</f>
        <v>Terminskontrakt råvara (LME för aluminium)</v>
      </c>
      <c r="Q16" s="954">
        <f>+[2]rapkvart!F296</f>
        <v>0</v>
      </c>
      <c r="R16" s="955">
        <f>+[2]rapkvart!G296</f>
        <v>0</v>
      </c>
      <c r="S16" s="2039">
        <f>+[2]rapkvart!H296</f>
        <v>0</v>
      </c>
      <c r="U16" s="781" t="s">
        <v>556</v>
      </c>
      <c r="V16" s="954">
        <v>0</v>
      </c>
      <c r="W16" s="955">
        <v>0</v>
      </c>
      <c r="X16" s="2039">
        <v>0</v>
      </c>
    </row>
    <row r="17" spans="2:24" hidden="1" x14ac:dyDescent="0.15">
      <c r="B17" s="1409" t="s">
        <v>557</v>
      </c>
      <c r="C17" s="1320"/>
      <c r="D17" s="1320"/>
      <c r="E17" s="1320"/>
      <c r="F17" s="1320"/>
      <c r="G17" s="1320"/>
      <c r="H17" s="1320"/>
      <c r="I17" s="1320"/>
      <c r="J17" s="1320"/>
      <c r="K17" s="1320"/>
      <c r="L17" s="1320"/>
      <c r="M17" s="1320"/>
      <c r="N17" s="1320"/>
      <c r="P17" s="781" t="str">
        <f>+[2]rapkvart!$B297</f>
        <v>Säkrad volym, ton</v>
      </c>
      <c r="Q17" s="956" t="str">
        <f>+[2]rapkvart!F297</f>
        <v>-</v>
      </c>
      <c r="R17" s="951" t="str">
        <f>+[2]rapkvart!G297</f>
        <v>-</v>
      </c>
      <c r="S17" s="2037">
        <f>+[2]rapkvart!H297</f>
        <v>0</v>
      </c>
      <c r="U17" s="781" t="s">
        <v>557</v>
      </c>
      <c r="V17" s="956" t="s">
        <v>17</v>
      </c>
      <c r="W17" s="951" t="s">
        <v>17</v>
      </c>
      <c r="X17" s="2037" t="s">
        <v>17</v>
      </c>
    </row>
    <row r="18" spans="2:24" hidden="1" x14ac:dyDescent="0.15">
      <c r="B18" s="1409" t="s">
        <v>558</v>
      </c>
      <c r="C18" s="1320"/>
      <c r="D18" s="1320"/>
      <c r="E18" s="1320"/>
      <c r="F18" s="1320"/>
      <c r="G18" s="1320"/>
      <c r="H18" s="1320"/>
      <c r="I18" s="1320"/>
      <c r="J18" s="1320"/>
      <c r="K18" s="1320"/>
      <c r="L18" s="1320"/>
      <c r="M18" s="1320"/>
      <c r="N18" s="1320"/>
      <c r="P18" s="781" t="str">
        <f>+[2]rapkvart!$B298</f>
        <v>Nominellt belopp, MUSD</v>
      </c>
      <c r="Q18" s="956" t="str">
        <f>+[2]rapkvart!F298</f>
        <v>-</v>
      </c>
      <c r="R18" s="951" t="str">
        <f>+[2]rapkvart!G298</f>
        <v>-</v>
      </c>
      <c r="S18" s="2037">
        <f>+[2]rapkvart!H298</f>
        <v>0</v>
      </c>
      <c r="U18" s="781" t="s">
        <v>558</v>
      </c>
      <c r="V18" s="956" t="s">
        <v>17</v>
      </c>
      <c r="W18" s="951" t="s">
        <v>17</v>
      </c>
      <c r="X18" s="2037" t="s">
        <v>17</v>
      </c>
    </row>
    <row r="19" spans="2:24" hidden="1" x14ac:dyDescent="0.15">
      <c r="B19" s="1409" t="s">
        <v>559</v>
      </c>
      <c r="C19" s="1320"/>
      <c r="D19" s="1320"/>
      <c r="E19" s="1320"/>
      <c r="F19" s="1320"/>
      <c r="G19" s="1320"/>
      <c r="H19" s="1320"/>
      <c r="I19" s="1320"/>
      <c r="J19" s="1320"/>
      <c r="K19" s="1320"/>
      <c r="L19" s="1320"/>
      <c r="M19" s="1320"/>
      <c r="N19" s="1320"/>
      <c r="P19" s="781" t="str">
        <f>+[2]rapkvart!$B299</f>
        <v>Senaste förfallotidpunkt</v>
      </c>
      <c r="Q19" s="956" t="str">
        <f>+[2]rapkvart!F299</f>
        <v>-</v>
      </c>
      <c r="R19" s="951" t="str">
        <f>+[2]rapkvart!G299</f>
        <v>-</v>
      </c>
      <c r="S19" s="2037">
        <f>+[2]rapkvart!H299</f>
        <v>0</v>
      </c>
      <c r="U19" s="781" t="s">
        <v>559</v>
      </c>
      <c r="V19" s="956" t="s">
        <v>17</v>
      </c>
      <c r="W19" s="951" t="s">
        <v>17</v>
      </c>
      <c r="X19" s="2037" t="s">
        <v>17</v>
      </c>
    </row>
    <row r="20" spans="2:24" ht="9" customHeight="1" x14ac:dyDescent="0.15">
      <c r="B20" s="1409" t="s">
        <v>706</v>
      </c>
      <c r="C20" s="1319"/>
      <c r="D20" s="1319"/>
      <c r="E20" s="1319"/>
      <c r="F20" s="1319"/>
      <c r="G20" s="1319"/>
      <c r="H20" s="1319"/>
      <c r="I20" s="1319"/>
      <c r="J20" s="1319"/>
      <c r="K20" s="1319"/>
      <c r="L20" s="1319"/>
      <c r="M20" s="1319"/>
      <c r="N20" s="1319"/>
      <c r="P20" s="781" t="str">
        <f>+[2]rapkvart!$B300</f>
        <v>Terminskontrakt valuta</v>
      </c>
      <c r="Q20" s="949"/>
      <c r="R20" s="950"/>
      <c r="S20" s="2036"/>
      <c r="U20" s="781" t="str">
        <f>+[2]rapkvart!$A300</f>
        <v>Forward contracts foreign exchange</v>
      </c>
      <c r="V20" s="949"/>
      <c r="W20" s="950"/>
      <c r="X20" s="2036"/>
    </row>
    <row r="21" spans="2:24" hidden="1" x14ac:dyDescent="0.15">
      <c r="B21" s="1410" t="s">
        <v>560</v>
      </c>
      <c r="C21" s="1319"/>
      <c r="D21" s="1319"/>
      <c r="E21" s="1319"/>
      <c r="F21" s="1319"/>
      <c r="G21" s="1319"/>
      <c r="H21" s="1319"/>
      <c r="I21" s="1319"/>
      <c r="J21" s="1319"/>
      <c r="K21" s="1319"/>
      <c r="L21" s="1319"/>
      <c r="M21" s="1319"/>
      <c r="N21" s="1319"/>
      <c r="P21" s="782" t="str">
        <f>+[2]rapkvart!$B301</f>
        <v>Säkrat nettoinflöde, MDKK</v>
      </c>
      <c r="Q21" s="949">
        <f>+[2]rapkvart!F301</f>
        <v>0</v>
      </c>
      <c r="R21" s="950">
        <f>+[2]rapkvart!G301</f>
        <v>0</v>
      </c>
      <c r="S21" s="2036">
        <f>+[2]rapkvart!H301</f>
        <v>0</v>
      </c>
      <c r="U21" s="782" t="s">
        <v>560</v>
      </c>
      <c r="V21" s="949">
        <v>0</v>
      </c>
      <c r="W21" s="950">
        <v>0</v>
      </c>
      <c r="X21" s="2036">
        <v>0</v>
      </c>
    </row>
    <row r="22" spans="2:24" ht="9" customHeight="1" x14ac:dyDescent="0.15">
      <c r="B22" s="1410" t="s">
        <v>707</v>
      </c>
      <c r="C22" s="1319">
        <f>[2]rapkvart!S$302</f>
        <v>9.8000000000000007</v>
      </c>
      <c r="D22" s="1319">
        <f>[2]rapkvart!T$302</f>
        <v>9.1999999999999993</v>
      </c>
      <c r="E22" s="1319">
        <f>[2]rapkvart!U$302</f>
        <v>26.2</v>
      </c>
      <c r="F22" s="1319">
        <f>[2]rapkvart!V$302</f>
        <v>26.7</v>
      </c>
      <c r="G22" s="1319">
        <f>[2]rapkvart!O$302</f>
        <v>23</v>
      </c>
      <c r="H22" s="1319">
        <f>[2]rapkvart!P$302</f>
        <v>21.7</v>
      </c>
      <c r="I22" s="1319">
        <f>[2]rapkvart!Q$302</f>
        <v>20.3</v>
      </c>
      <c r="J22" s="1319">
        <f>[2]rapkvart!R$302</f>
        <v>14.8</v>
      </c>
      <c r="K22" s="1319">
        <f>[2]rapkvart!K$302</f>
        <v>14.1</v>
      </c>
      <c r="L22" s="1319">
        <f>[2]rapkvart!L$302</f>
        <v>9.3000000000000007</v>
      </c>
      <c r="M22" s="1319">
        <f>[2]rapkvart!M$302</f>
        <v>20.3</v>
      </c>
      <c r="N22" s="1319">
        <f>[2]rapkvart!N$302</f>
        <v>14.8</v>
      </c>
      <c r="P22" s="782" t="str">
        <f>+[2]rapkvart!$B302</f>
        <v>Säkrat nettoinflöde, MEUR</v>
      </c>
      <c r="Q22" s="1603">
        <f>L22</f>
        <v>9.3000000000000007</v>
      </c>
      <c r="R22" s="1604">
        <f>H22</f>
        <v>21.7</v>
      </c>
      <c r="S22" s="1606">
        <f>J22</f>
        <v>14.8</v>
      </c>
      <c r="U22" s="782" t="str">
        <f>+[2]rapkvart!$A302</f>
        <v>Hedged future cash flows, MEUR</v>
      </c>
      <c r="V22" s="1605">
        <f t="shared" ref="V22:X24" si="2">Q22</f>
        <v>9.3000000000000007</v>
      </c>
      <c r="W22" s="1606">
        <f t="shared" si="2"/>
        <v>21.7</v>
      </c>
      <c r="X22" s="1606">
        <f t="shared" si="2"/>
        <v>14.8</v>
      </c>
    </row>
    <row r="23" spans="2:24" ht="9" customHeight="1" x14ac:dyDescent="0.15">
      <c r="B23" s="1410" t="s">
        <v>708</v>
      </c>
      <c r="C23" s="1319">
        <f>[2]rapkvart!S$303</f>
        <v>106</v>
      </c>
      <c r="D23" s="1319">
        <f>[2]rapkvart!T$303</f>
        <v>101.9</v>
      </c>
      <c r="E23" s="1319">
        <f>[2]rapkvart!U$303</f>
        <v>298.5</v>
      </c>
      <c r="F23" s="1319">
        <f>[2]rapkvart!V$303</f>
        <v>305.5</v>
      </c>
      <c r="G23" s="1319">
        <f>[2]rapkvart!O$303</f>
        <v>262.89999999999998</v>
      </c>
      <c r="H23" s="1319">
        <f>[2]rapkvart!P$303</f>
        <v>246.6</v>
      </c>
      <c r="I23" s="1319">
        <f>[2]rapkvart!Q$303</f>
        <v>230.2</v>
      </c>
      <c r="J23" s="1319">
        <f>[2]rapkvart!R$303</f>
        <v>168.8</v>
      </c>
      <c r="K23" s="1319">
        <f>[2]rapkvart!K$303</f>
        <v>157.9</v>
      </c>
      <c r="L23" s="1319">
        <f>[2]rapkvart!L$303</f>
        <v>103.4</v>
      </c>
      <c r="M23" s="1319">
        <f>[2]rapkvart!M$303</f>
        <v>230.2</v>
      </c>
      <c r="N23" s="1319">
        <f>[2]rapkvart!N$303</f>
        <v>168.8</v>
      </c>
      <c r="P23" s="782" t="str">
        <f>+[2]rapkvart!$B303</f>
        <v>Nominellt belopp</v>
      </c>
      <c r="Q23" s="1603">
        <f>L23</f>
        <v>103.4</v>
      </c>
      <c r="R23" s="1604">
        <f>H23</f>
        <v>246.6</v>
      </c>
      <c r="S23" s="1606">
        <f>J23</f>
        <v>168.8</v>
      </c>
      <c r="U23" s="782" t="str">
        <f>+[2]rapkvart!$A303</f>
        <v>Notional amount</v>
      </c>
      <c r="V23" s="1605">
        <f t="shared" si="2"/>
        <v>103.4</v>
      </c>
      <c r="W23" s="1606">
        <f t="shared" si="2"/>
        <v>246.6</v>
      </c>
      <c r="X23" s="1606">
        <f t="shared" si="2"/>
        <v>168.8</v>
      </c>
    </row>
    <row r="24" spans="2:24" ht="9" customHeight="1" x14ac:dyDescent="0.15">
      <c r="B24" s="1410" t="s">
        <v>559</v>
      </c>
      <c r="C24" s="1319" t="str">
        <f>[2]rapkvart!S$304</f>
        <v>2025-12-15</v>
      </c>
      <c r="D24" s="1319" t="str">
        <f>[2]rapkvart!T$304</f>
        <v>2025-12-15</v>
      </c>
      <c r="E24" s="1319" t="str">
        <f>[2]rapkvart!U$304</f>
        <v>2026-12-15</v>
      </c>
      <c r="F24" s="1319" t="str">
        <f>[2]rapkvart!V$304</f>
        <v>2026-12-15</v>
      </c>
      <c r="G24" s="1319" t="str">
        <f>[2]rapkvart!O$304</f>
        <v>2026-12-15</v>
      </c>
      <c r="H24" s="1319" t="str">
        <f>[2]rapkvart!P$304</f>
        <v>2026-12-15</v>
      </c>
      <c r="I24" s="1319" t="str">
        <f>[2]rapkvart!Q$304</f>
        <v>2026-12-17</v>
      </c>
      <c r="J24" s="1319" t="str">
        <f>[2]rapkvart!R$304</f>
        <v>2026-12-17</v>
      </c>
      <c r="K24" s="1319" t="str">
        <f>[2]rapkvart!K$304</f>
        <v>2027-09-25</v>
      </c>
      <c r="L24" s="1319" t="str">
        <f>[2]rapkvart!L$304</f>
        <v>2027-09-25</v>
      </c>
      <c r="M24" s="1319" t="str">
        <f>[2]rapkvart!M$304</f>
        <v>2026-12-17</v>
      </c>
      <c r="N24" s="1319" t="str">
        <f>[2]rapkvart!N$304</f>
        <v>2026-12-17</v>
      </c>
      <c r="P24" s="782" t="str">
        <f>+[2]rapkvart!$B304</f>
        <v>Senaste förfallotidpunkt</v>
      </c>
      <c r="Q24" s="783" t="str">
        <f>L24</f>
        <v>2027-09-25</v>
      </c>
      <c r="R24" s="685" t="str">
        <f>H24</f>
        <v>2026-12-15</v>
      </c>
      <c r="S24" s="2040" t="str">
        <f>J24</f>
        <v>2026-12-17</v>
      </c>
      <c r="U24" s="782" t="str">
        <f>+[2]rapkvart!$A304</f>
        <v>Last maturity date of concluded forward contracts</v>
      </c>
      <c r="V24" s="783" t="str">
        <f t="shared" si="2"/>
        <v>2027-09-25</v>
      </c>
      <c r="W24" s="685" t="str">
        <f t="shared" si="2"/>
        <v>2026-12-15</v>
      </c>
      <c r="X24" s="2040" t="str">
        <f t="shared" si="2"/>
        <v>2026-12-17</v>
      </c>
    </row>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B1:Y12"/>
  <sheetViews>
    <sheetView workbookViewId="0"/>
    <sheetView workbookViewId="1"/>
  </sheetViews>
  <sheetFormatPr defaultColWidth="9.140625" defaultRowHeight="9" outlineLevelCol="1" x14ac:dyDescent="0.15"/>
  <cols>
    <col min="1" max="1" width="9.140625" style="259"/>
    <col min="2" max="2" width="16.140625" style="259" customWidth="1"/>
    <col min="3" max="3" width="9.140625" style="259"/>
    <col min="4" max="15" width="5.28515625" style="259" customWidth="1"/>
    <col min="16" max="16" width="4.7109375" style="259" customWidth="1"/>
    <col min="17" max="17" width="20.28515625" style="259" customWidth="1"/>
    <col min="18" max="19" width="9.28515625" style="259" customWidth="1"/>
    <col min="20" max="20" width="9.28515625" style="259" customWidth="1" outlineLevel="1"/>
    <col min="21" max="21" width="9.140625" style="259"/>
    <col min="22" max="22" width="21.7109375" style="259" customWidth="1"/>
    <col min="23" max="25" width="9.28515625" style="259" customWidth="1"/>
    <col min="26" max="16384" width="9.140625" style="259"/>
  </cols>
  <sheetData>
    <row r="1" spans="2:25" x14ac:dyDescent="0.15">
      <c r="B1" s="1930"/>
      <c r="C1" s="1930"/>
      <c r="D1" s="1930"/>
      <c r="E1" s="1930"/>
      <c r="F1" s="1930"/>
      <c r="G1" s="1930"/>
      <c r="H1" s="1930"/>
      <c r="I1" s="1930"/>
      <c r="J1" s="1930"/>
      <c r="K1" s="1930"/>
      <c r="L1" s="1930"/>
      <c r="M1" s="1930"/>
      <c r="N1" s="1930"/>
      <c r="O1" s="1930"/>
      <c r="Q1" s="1930"/>
      <c r="R1" s="1930"/>
      <c r="S1" s="1930"/>
      <c r="T1" s="1930"/>
      <c r="V1" s="1930"/>
      <c r="W1" s="1930"/>
      <c r="X1" s="1930"/>
      <c r="Y1" s="1930"/>
    </row>
    <row r="3" spans="2:25" ht="15" x14ac:dyDescent="0.25">
      <c r="B3" s="794" t="s">
        <v>687</v>
      </c>
      <c r="C3" s="794"/>
      <c r="D3" s="271"/>
      <c r="E3" s="271"/>
      <c r="F3" s="271"/>
      <c r="G3" s="271"/>
      <c r="H3" s="271"/>
      <c r="I3" s="271"/>
      <c r="J3" s="271"/>
      <c r="K3" s="271"/>
      <c r="L3" s="271"/>
      <c r="M3" s="271"/>
      <c r="N3" s="271"/>
      <c r="O3" s="271"/>
      <c r="Q3" s="794" t="s">
        <v>688</v>
      </c>
      <c r="R3" s="794"/>
      <c r="S3" s="271"/>
      <c r="T3" s="271"/>
      <c r="V3" s="794" t="s">
        <v>689</v>
      </c>
      <c r="W3" s="794"/>
      <c r="X3" s="271"/>
      <c r="Y3" s="271"/>
    </row>
    <row r="5" spans="2:25" ht="11.25" customHeight="1" x14ac:dyDescent="0.15">
      <c r="B5" s="257" t="s">
        <v>713</v>
      </c>
      <c r="Q5" s="257" t="str">
        <f>+[2]rapkvart!B276</f>
        <v>Not 6 - Ställda säkerheter och eventualförpliktelser</v>
      </c>
      <c r="V5" s="257" t="str">
        <f>+[2]rapkvart!A276</f>
        <v>Note 6 - Pledged assets and contingent liabilities</v>
      </c>
    </row>
    <row r="6" spans="2:25" ht="11.25" customHeight="1" x14ac:dyDescent="0.15">
      <c r="B6" s="260"/>
      <c r="C6" s="261"/>
      <c r="D6" s="261" t="s">
        <v>159</v>
      </c>
      <c r="E6" s="261" t="s">
        <v>159</v>
      </c>
      <c r="F6" s="261" t="s">
        <v>159</v>
      </c>
      <c r="G6" s="261" t="s">
        <v>159</v>
      </c>
      <c r="H6" s="261" t="s">
        <v>159</v>
      </c>
      <c r="I6" s="261" t="s">
        <v>159</v>
      </c>
      <c r="J6" s="261" t="s">
        <v>159</v>
      </c>
      <c r="K6" s="261" t="s">
        <v>159</v>
      </c>
      <c r="L6" s="261" t="s">
        <v>159</v>
      </c>
      <c r="M6" s="261" t="s">
        <v>159</v>
      </c>
      <c r="N6" s="261" t="s">
        <v>159</v>
      </c>
      <c r="O6" s="261" t="s">
        <v>159</v>
      </c>
      <c r="Q6" s="260"/>
      <c r="R6" s="261" t="str">
        <f>+[2]rapkvart!F277</f>
        <v>30 jun</v>
      </c>
      <c r="S6" s="261" t="str">
        <f>+[2]rapkvart!G277</f>
        <v>30 jun</v>
      </c>
      <c r="T6" s="261" t="str">
        <f>+[2]rapkvart!I277</f>
        <v>31 dec</v>
      </c>
      <c r="V6" s="260"/>
      <c r="W6" s="261" t="str">
        <f>R6</f>
        <v>30 jun</v>
      </c>
      <c r="X6" s="261" t="str">
        <f t="shared" ref="X6:Y6" si="0">S6</f>
        <v>30 jun</v>
      </c>
      <c r="Y6" s="261" t="str">
        <f t="shared" si="0"/>
        <v>31 dec</v>
      </c>
    </row>
    <row r="7" spans="2:25" ht="9" customHeight="1" x14ac:dyDescent="0.15">
      <c r="B7" s="273" t="str">
        <f>[2]rapkvart!B278</f>
        <v>Mkr</v>
      </c>
      <c r="C7" s="948"/>
      <c r="D7" s="948">
        <v>2403</v>
      </c>
      <c r="E7" s="948">
        <f>D7+3</f>
        <v>2406</v>
      </c>
      <c r="F7" s="948">
        <f t="shared" ref="F7:G7" si="1">E7+3</f>
        <v>2409</v>
      </c>
      <c r="G7" s="948">
        <f t="shared" si="1"/>
        <v>2412</v>
      </c>
      <c r="H7" s="948">
        <f>D7+100</f>
        <v>2503</v>
      </c>
      <c r="I7" s="948">
        <f t="shared" ref="I7:K7" si="2">E7+100</f>
        <v>2506</v>
      </c>
      <c r="J7" s="948">
        <f t="shared" si="2"/>
        <v>2509</v>
      </c>
      <c r="K7" s="948">
        <f t="shared" si="2"/>
        <v>2512</v>
      </c>
      <c r="L7" s="948">
        <f t="shared" ref="L7" si="3">H7+100</f>
        <v>2603</v>
      </c>
      <c r="M7" s="948">
        <f t="shared" ref="M7:O7" si="4">I7+100</f>
        <v>2606</v>
      </c>
      <c r="N7" s="948">
        <f t="shared" si="4"/>
        <v>2609</v>
      </c>
      <c r="O7" s="948">
        <f t="shared" si="4"/>
        <v>2612</v>
      </c>
      <c r="Q7" s="273" t="str">
        <f>+[2]rapkvart!B278</f>
        <v>Mkr</v>
      </c>
      <c r="R7" s="948">
        <f>+[2]rapkvart!F278</f>
        <v>2026</v>
      </c>
      <c r="S7" s="948">
        <f>+[2]rapkvart!G278</f>
        <v>2025</v>
      </c>
      <c r="T7" s="948">
        <f>+[2]rapkvart!I278</f>
        <v>2025</v>
      </c>
      <c r="V7" s="273" t="str">
        <f>+[2]rapkvart!A278</f>
        <v>MSEK</v>
      </c>
      <c r="W7" s="948">
        <f>R7</f>
        <v>2026</v>
      </c>
      <c r="X7" s="948">
        <f t="shared" ref="X7" si="5">S7</f>
        <v>2025</v>
      </c>
      <c r="Y7" s="948">
        <f t="shared" ref="Y7" si="6">T7</f>
        <v>2025</v>
      </c>
    </row>
    <row r="8" spans="2:25" x14ac:dyDescent="0.15">
      <c r="B8" s="1402" t="str">
        <f>[2]rapkvart!B279</f>
        <v>Fastighetsinteckningar</v>
      </c>
      <c r="C8" s="1402"/>
      <c r="D8" s="1423">
        <f>[2]rapkvart!S279</f>
        <v>82.9</v>
      </c>
      <c r="E8" s="1423">
        <f>[2]rapkvart!T279</f>
        <v>82.9</v>
      </c>
      <c r="F8" s="1423">
        <f>[2]rapkvart!U279</f>
        <v>82.9</v>
      </c>
      <c r="G8" s="1423">
        <f>[2]rapkvart!V279</f>
        <v>82.9</v>
      </c>
      <c r="H8" s="1423">
        <f>[2]rapkvart!O279</f>
        <v>82.9</v>
      </c>
      <c r="I8" s="1423">
        <f>[2]rapkvart!P279</f>
        <v>82.9</v>
      </c>
      <c r="J8" s="1423">
        <f>[2]rapkvart!Q279</f>
        <v>82.9</v>
      </c>
      <c r="K8" s="1423">
        <f>[2]rapkvart!R279</f>
        <v>82.9</v>
      </c>
      <c r="L8" s="1423">
        <f>[2]rapkvart!K279</f>
        <v>82.9</v>
      </c>
      <c r="M8" s="1423">
        <f>[2]rapkvart!L279</f>
        <v>82.9</v>
      </c>
      <c r="N8" s="1423">
        <f>[2]rapkvart!M279</f>
        <v>82.9</v>
      </c>
      <c r="O8" s="1423">
        <f>[2]rapkvart!N279</f>
        <v>82.9</v>
      </c>
      <c r="Q8" s="700" t="str">
        <f>+[2]rapkvart!B279</f>
        <v>Fastighetsinteckningar</v>
      </c>
      <c r="R8" s="947">
        <f>M8</f>
        <v>82.9</v>
      </c>
      <c r="S8" s="946">
        <f>I8</f>
        <v>82.9</v>
      </c>
      <c r="T8" s="2041">
        <f>K8</f>
        <v>82.9</v>
      </c>
      <c r="V8" s="700" t="str">
        <f>+[2]rapkvart!A$279</f>
        <v>Property mortgages</v>
      </c>
      <c r="W8" s="947">
        <f>R8</f>
        <v>82.9</v>
      </c>
      <c r="X8" s="946">
        <f>S8</f>
        <v>82.9</v>
      </c>
      <c r="Y8" s="946">
        <f>T8</f>
        <v>82.9</v>
      </c>
    </row>
    <row r="9" spans="2:25" x14ac:dyDescent="0.15">
      <c r="B9" s="1402" t="str">
        <f>[2]rapkvart!B280</f>
        <v>Företagsinteckningar</v>
      </c>
      <c r="C9" s="1402"/>
      <c r="D9" s="1423">
        <f>[2]rapkvart!S280</f>
        <v>440</v>
      </c>
      <c r="E9" s="1423">
        <f>[2]rapkvart!T280</f>
        <v>440</v>
      </c>
      <c r="F9" s="1423">
        <f>[2]rapkvart!U280</f>
        <v>440</v>
      </c>
      <c r="G9" s="1423">
        <f>[2]rapkvart!V280</f>
        <v>440</v>
      </c>
      <c r="H9" s="1423">
        <f>[2]rapkvart!O280</f>
        <v>440</v>
      </c>
      <c r="I9" s="1423">
        <f>[2]rapkvart!P280</f>
        <v>440</v>
      </c>
      <c r="J9" s="1423">
        <f>[2]rapkvart!Q280</f>
        <v>440</v>
      </c>
      <c r="K9" s="1423">
        <f>[2]rapkvart!R280</f>
        <v>420</v>
      </c>
      <c r="L9" s="1423">
        <f>[2]rapkvart!K280</f>
        <v>420</v>
      </c>
      <c r="M9" s="1423">
        <f>[2]rapkvart!L280</f>
        <v>420</v>
      </c>
      <c r="N9" s="1423">
        <f>[2]rapkvart!M280</f>
        <v>420</v>
      </c>
      <c r="O9" s="1423">
        <f>[2]rapkvart!N280</f>
        <v>420</v>
      </c>
      <c r="Q9" s="700" t="str">
        <f>+[2]rapkvart!B280</f>
        <v>Företagsinteckningar</v>
      </c>
      <c r="R9" s="947">
        <f t="shared" ref="R9:R12" si="7">M9</f>
        <v>420</v>
      </c>
      <c r="S9" s="946">
        <f t="shared" ref="S9:S12" si="8">I9</f>
        <v>440</v>
      </c>
      <c r="T9" s="2041">
        <f t="shared" ref="T9:T12" si="9">K9</f>
        <v>420</v>
      </c>
      <c r="V9" s="700" t="str">
        <f>+[2]rapkvart!A$280</f>
        <v>Floating charges</v>
      </c>
      <c r="W9" s="945">
        <f t="shared" ref="W9:Y12" si="10">R9</f>
        <v>420</v>
      </c>
      <c r="X9" s="946">
        <f t="shared" si="10"/>
        <v>440</v>
      </c>
      <c r="Y9" s="946">
        <f t="shared" si="10"/>
        <v>420</v>
      </c>
    </row>
    <row r="10" spans="2:25" x14ac:dyDescent="0.15">
      <c r="B10" s="1402" t="str">
        <f>[2]rapkvart!B281</f>
        <v>Aktier i dotterbolag</v>
      </c>
      <c r="C10" s="1402"/>
      <c r="D10" s="1423">
        <f>[2]rapkvart!S281</f>
        <v>348.4</v>
      </c>
      <c r="E10" s="1423">
        <f>[2]rapkvart!T281</f>
        <v>385.8</v>
      </c>
      <c r="F10" s="1423">
        <f>[2]rapkvart!U281</f>
        <v>394.3</v>
      </c>
      <c r="G10" s="1423">
        <f>[2]rapkvart!V281</f>
        <v>381.8</v>
      </c>
      <c r="H10" s="1423">
        <f>[2]rapkvart!O281</f>
        <v>364</v>
      </c>
      <c r="I10" s="1423">
        <f>[2]rapkvart!P281</f>
        <v>386.9</v>
      </c>
      <c r="J10" s="1423">
        <f>[2]rapkvart!Q281</f>
        <v>393.2</v>
      </c>
      <c r="K10" s="1423">
        <f>[2]rapkvart!R281</f>
        <v>320</v>
      </c>
      <c r="L10" s="1423">
        <f>[2]rapkvart!K281</f>
        <v>343.2</v>
      </c>
      <c r="M10" s="1423">
        <f>[2]rapkvart!L281</f>
        <v>402.7</v>
      </c>
      <c r="N10" s="1423">
        <f>[2]rapkvart!M281</f>
        <v>393.2</v>
      </c>
      <c r="O10" s="1423">
        <f>[2]rapkvart!N281</f>
        <v>320</v>
      </c>
      <c r="Q10" s="700" t="str">
        <f>+[2]rapkvart!B281</f>
        <v>Aktier i dotterbolag</v>
      </c>
      <c r="R10" s="947">
        <f t="shared" si="7"/>
        <v>402.7</v>
      </c>
      <c r="S10" s="946">
        <f t="shared" si="8"/>
        <v>386.9</v>
      </c>
      <c r="T10" s="2041">
        <f t="shared" si="9"/>
        <v>320</v>
      </c>
      <c r="V10" s="700" t="str">
        <f>+[2]rapkvart!A$281</f>
        <v>Shares in subsidiaries</v>
      </c>
      <c r="W10" s="945">
        <f t="shared" si="10"/>
        <v>402.7</v>
      </c>
      <c r="X10" s="946">
        <f t="shared" si="10"/>
        <v>386.9</v>
      </c>
      <c r="Y10" s="946">
        <f t="shared" si="10"/>
        <v>320</v>
      </c>
    </row>
    <row r="11" spans="2:25" hidden="1" x14ac:dyDescent="0.15">
      <c r="B11" s="1402" t="str">
        <f>[2]rapkvart!B282</f>
        <v>Tillgångar med äganderättsförbehåll</v>
      </c>
      <c r="C11" s="1402"/>
      <c r="D11" s="1423">
        <f>[2]rapkvart!S282</f>
        <v>0</v>
      </c>
      <c r="E11" s="1423">
        <f>[2]rapkvart!T282</f>
        <v>0</v>
      </c>
      <c r="F11" s="1423">
        <f>[2]rapkvart!U282</f>
        <v>0</v>
      </c>
      <c r="G11" s="1423">
        <f>[2]rapkvart!V282</f>
        <v>0</v>
      </c>
      <c r="H11" s="1423">
        <f>[2]rapkvart!O282</f>
        <v>0</v>
      </c>
      <c r="I11" s="1423">
        <f>[2]rapkvart!P282</f>
        <v>0</v>
      </c>
      <c r="J11" s="1423">
        <f>[2]rapkvart!Q282</f>
        <v>0</v>
      </c>
      <c r="K11" s="1423">
        <f>[2]rapkvart!R282</f>
        <v>0</v>
      </c>
      <c r="L11" s="1423">
        <f>[2]rapkvart!K282</f>
        <v>0</v>
      </c>
      <c r="M11" s="1423">
        <f>[2]rapkvart!L282</f>
        <v>0</v>
      </c>
      <c r="N11" s="1423">
        <f>[2]rapkvart!M282</f>
        <v>0</v>
      </c>
      <c r="O11" s="1423">
        <f>[2]rapkvart!N282</f>
        <v>0</v>
      </c>
      <c r="Q11" s="700" t="str">
        <f>+[2]rapkvart!B282</f>
        <v>Tillgångar med äganderättsförbehåll</v>
      </c>
      <c r="R11" s="947">
        <f t="shared" si="7"/>
        <v>0</v>
      </c>
      <c r="S11" s="946">
        <f t="shared" si="8"/>
        <v>0</v>
      </c>
      <c r="T11" s="2041">
        <f t="shared" si="9"/>
        <v>0</v>
      </c>
      <c r="V11" s="700" t="str">
        <f>+[2]rapkvart!A282</f>
        <v>Assets with retention of title</v>
      </c>
      <c r="W11" s="945">
        <f t="shared" si="10"/>
        <v>0</v>
      </c>
      <c r="X11" s="946">
        <f t="shared" si="10"/>
        <v>0</v>
      </c>
      <c r="Y11" s="946">
        <f t="shared" si="10"/>
        <v>0</v>
      </c>
    </row>
    <row r="12" spans="2:25" x14ac:dyDescent="0.15">
      <c r="B12" s="1402" t="str">
        <f>[2]rapkvart!B283</f>
        <v>Garantiåtaganden pensioner</v>
      </c>
      <c r="C12" s="1402"/>
      <c r="D12" s="1423">
        <f>[2]rapkvart!S283</f>
        <v>0.3</v>
      </c>
      <c r="E12" s="1423">
        <f>[2]rapkvart!T283</f>
        <v>0.3</v>
      </c>
      <c r="F12" s="1423">
        <f>[2]rapkvart!U283</f>
        <v>0.3</v>
      </c>
      <c r="G12" s="1423">
        <f>[2]rapkvart!V283</f>
        <v>0.3</v>
      </c>
      <c r="H12" s="1423">
        <f>[2]rapkvart!O283</f>
        <v>0.3</v>
      </c>
      <c r="I12" s="1423">
        <f>[2]rapkvart!P283</f>
        <v>0.3</v>
      </c>
      <c r="J12" s="1423">
        <f>[2]rapkvart!Q283</f>
        <v>0.3</v>
      </c>
      <c r="K12" s="1423">
        <f>[2]rapkvart!R283</f>
        <v>0.3</v>
      </c>
      <c r="L12" s="1423">
        <f>[2]rapkvart!K283</f>
        <v>0.3</v>
      </c>
      <c r="M12" s="1423">
        <f>[2]rapkvart!L283</f>
        <v>0.3</v>
      </c>
      <c r="N12" s="1423">
        <f>[2]rapkvart!M283</f>
        <v>0.3</v>
      </c>
      <c r="O12" s="1423">
        <f>[2]rapkvart!N283</f>
        <v>0.3</v>
      </c>
      <c r="Q12" s="700" t="str">
        <f>+[2]rapkvart!B283</f>
        <v>Garantiåtaganden pensioner</v>
      </c>
      <c r="R12" s="947">
        <f t="shared" si="7"/>
        <v>0.3</v>
      </c>
      <c r="S12" s="946">
        <f t="shared" si="8"/>
        <v>0.3</v>
      </c>
      <c r="T12" s="2041">
        <f t="shared" si="9"/>
        <v>0.3</v>
      </c>
      <c r="V12" s="700" t="str">
        <f>+[2]rapkvart!A$283</f>
        <v>Guarantee commitments pensions</v>
      </c>
      <c r="W12" s="945">
        <f t="shared" si="10"/>
        <v>0.3</v>
      </c>
      <c r="X12" s="946">
        <f t="shared" si="10"/>
        <v>0.3</v>
      </c>
      <c r="Y12" s="946">
        <f t="shared" si="10"/>
        <v>0.3</v>
      </c>
    </row>
  </sheetData>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540D9-B091-41A4-AC27-906448C8563A}">
  <sheetPr>
    <tabColor theme="8"/>
  </sheetPr>
  <dimension ref="B1:AR27"/>
  <sheetViews>
    <sheetView workbookViewId="0"/>
    <sheetView workbookViewId="1"/>
  </sheetViews>
  <sheetFormatPr defaultColWidth="9.140625" defaultRowHeight="15" x14ac:dyDescent="0.25"/>
  <cols>
    <col min="1" max="1" width="9.140625" style="774"/>
    <col min="2" max="2" width="24.85546875" style="774" customWidth="1"/>
    <col min="3" max="14" width="5.7109375" style="774" customWidth="1"/>
    <col min="15" max="15" width="2.85546875" style="774" customWidth="1"/>
    <col min="16" max="27" width="5.7109375" style="774" customWidth="1"/>
    <col min="28" max="28" width="2.85546875" style="774" customWidth="1"/>
    <col min="29" max="29" width="36.5703125" style="774" customWidth="1"/>
    <col min="30" max="35" width="9.28515625" style="774" customWidth="1"/>
    <col min="36" max="37" width="4.28515625" style="774" customWidth="1"/>
    <col min="38" max="38" width="34" style="1447" customWidth="1"/>
    <col min="39" max="44" width="9.28515625" style="774" customWidth="1"/>
    <col min="45" max="16384" width="9.140625" style="774"/>
  </cols>
  <sheetData>
    <row r="1" spans="2:44" x14ac:dyDescent="0.25">
      <c r="B1" s="1951"/>
      <c r="C1" s="1951"/>
      <c r="D1" s="1951"/>
      <c r="E1" s="1951"/>
      <c r="F1" s="1951"/>
      <c r="G1" s="1951"/>
      <c r="H1" s="1951"/>
      <c r="I1" s="1951"/>
      <c r="J1" s="1951"/>
      <c r="K1" s="1951"/>
      <c r="L1" s="1951"/>
      <c r="M1" s="1951"/>
      <c r="N1" s="1951"/>
      <c r="O1" s="1951"/>
      <c r="P1" s="1951"/>
      <c r="Q1" s="1951"/>
      <c r="R1" s="1951"/>
      <c r="S1" s="1951"/>
      <c r="T1" s="1951"/>
      <c r="U1" s="1951"/>
      <c r="V1" s="1951"/>
      <c r="W1" s="1951"/>
      <c r="X1" s="1951"/>
      <c r="Y1" s="1951"/>
      <c r="Z1" s="1951"/>
      <c r="AA1" s="1951"/>
      <c r="AC1" s="1951"/>
      <c r="AD1" s="1951"/>
      <c r="AE1" s="1951"/>
      <c r="AF1" s="1951"/>
      <c r="AG1" s="1951"/>
      <c r="AH1" s="1951"/>
      <c r="AI1" s="1951"/>
      <c r="AL1" s="1951"/>
      <c r="AM1" s="1951"/>
      <c r="AN1" s="1951"/>
      <c r="AO1" s="1951"/>
      <c r="AP1" s="1951"/>
      <c r="AQ1" s="1951"/>
      <c r="AR1" s="1951"/>
    </row>
    <row r="4" spans="2:44" x14ac:dyDescent="0.25">
      <c r="B4" s="794" t="s">
        <v>716</v>
      </c>
      <c r="C4" s="1451"/>
      <c r="D4" s="1451"/>
      <c r="E4" s="1451"/>
      <c r="F4" s="1451"/>
      <c r="G4" s="1451"/>
      <c r="H4" s="1451"/>
      <c r="I4" s="1451"/>
      <c r="J4" s="1451"/>
      <c r="K4" s="1451"/>
      <c r="L4" s="1451"/>
      <c r="M4" s="1451"/>
      <c r="N4" s="1451"/>
      <c r="O4" s="1451"/>
      <c r="P4" s="1451"/>
      <c r="Q4" s="1451"/>
      <c r="R4" s="1451"/>
      <c r="S4" s="1451"/>
      <c r="T4" s="1451"/>
      <c r="U4" s="1451"/>
      <c r="V4" s="1451"/>
      <c r="W4" s="1451"/>
      <c r="X4" s="1451"/>
      <c r="Y4" s="1451"/>
      <c r="Z4" s="1451"/>
      <c r="AA4" s="1451"/>
      <c r="AC4" s="794" t="s">
        <v>688</v>
      </c>
      <c r="AD4" s="1439"/>
      <c r="AE4" s="1439"/>
      <c r="AF4" s="1439"/>
      <c r="AG4" s="1439"/>
      <c r="AH4" s="1439"/>
      <c r="AI4" s="1439"/>
      <c r="AL4" s="794" t="s">
        <v>689</v>
      </c>
      <c r="AM4" s="1439"/>
      <c r="AN4" s="1439"/>
      <c r="AO4" s="1439"/>
      <c r="AP4" s="1439"/>
      <c r="AQ4" s="1439"/>
      <c r="AR4" s="1439"/>
    </row>
    <row r="5" spans="2:44" x14ac:dyDescent="0.25">
      <c r="AK5" s="1522"/>
    </row>
    <row r="6" spans="2:44" x14ac:dyDescent="0.25">
      <c r="B6" s="260" t="s">
        <v>561</v>
      </c>
      <c r="C6" s="261" t="s">
        <v>159</v>
      </c>
      <c r="D6" s="261" t="s">
        <v>159</v>
      </c>
      <c r="E6" s="261" t="s">
        <v>159</v>
      </c>
      <c r="F6" s="261" t="s">
        <v>159</v>
      </c>
      <c r="G6" s="261" t="s">
        <v>159</v>
      </c>
      <c r="H6" s="261" t="s">
        <v>159</v>
      </c>
      <c r="I6" s="261" t="s">
        <v>159</v>
      </c>
      <c r="J6" s="261" t="s">
        <v>159</v>
      </c>
      <c r="K6" s="261" t="s">
        <v>159</v>
      </c>
      <c r="L6" s="261" t="s">
        <v>159</v>
      </c>
      <c r="M6" s="261" t="s">
        <v>159</v>
      </c>
      <c r="N6" s="261" t="s">
        <v>159</v>
      </c>
      <c r="P6" s="261" t="s">
        <v>160</v>
      </c>
      <c r="Q6" s="261" t="s">
        <v>160</v>
      </c>
      <c r="R6" s="261" t="s">
        <v>160</v>
      </c>
      <c r="S6" s="261" t="s">
        <v>160</v>
      </c>
      <c r="T6" s="261" t="s">
        <v>160</v>
      </c>
      <c r="U6" s="261" t="s">
        <v>160</v>
      </c>
      <c r="V6" s="261" t="s">
        <v>160</v>
      </c>
      <c r="W6" s="261" t="s">
        <v>160</v>
      </c>
      <c r="X6" s="261" t="s">
        <v>160</v>
      </c>
      <c r="Y6" s="261" t="s">
        <v>160</v>
      </c>
      <c r="Z6" s="261" t="s">
        <v>160</v>
      </c>
      <c r="AA6" s="261" t="s">
        <v>160</v>
      </c>
      <c r="AC6" s="260" t="s">
        <v>561</v>
      </c>
      <c r="AD6" s="261" t="s">
        <v>198</v>
      </c>
      <c r="AE6" s="261" t="s">
        <v>198</v>
      </c>
      <c r="AF6" s="261" t="s">
        <v>220</v>
      </c>
      <c r="AG6" s="261" t="s">
        <v>220</v>
      </c>
      <c r="AH6" s="261" t="s">
        <v>199</v>
      </c>
      <c r="AI6" s="261" t="s">
        <v>32</v>
      </c>
      <c r="AK6" s="1523"/>
      <c r="AL6" s="1753" t="s">
        <v>562</v>
      </c>
      <c r="AM6" s="261" t="s">
        <v>200</v>
      </c>
      <c r="AN6" s="261" t="s">
        <v>200</v>
      </c>
      <c r="AO6" s="261" t="s">
        <v>201</v>
      </c>
      <c r="AP6" s="261" t="s">
        <v>201</v>
      </c>
      <c r="AQ6" s="261" t="s">
        <v>202</v>
      </c>
      <c r="AR6" s="261" t="s">
        <v>203</v>
      </c>
    </row>
    <row r="7" spans="2:44" x14ac:dyDescent="0.25">
      <c r="B7" s="777" t="s">
        <v>221</v>
      </c>
      <c r="C7" s="948">
        <v>2403</v>
      </c>
      <c r="D7" s="948">
        <f>C7+3</f>
        <v>2406</v>
      </c>
      <c r="E7" s="948">
        <f t="shared" ref="E7:F7" si="0">D7+3</f>
        <v>2409</v>
      </c>
      <c r="F7" s="948">
        <f t="shared" si="0"/>
        <v>2412</v>
      </c>
      <c r="G7" s="948">
        <f>C7+100</f>
        <v>2503</v>
      </c>
      <c r="H7" s="948">
        <f t="shared" ref="H7:N7" si="1">D7+100</f>
        <v>2506</v>
      </c>
      <c r="I7" s="948">
        <f t="shared" si="1"/>
        <v>2509</v>
      </c>
      <c r="J7" s="948">
        <f t="shared" si="1"/>
        <v>2512</v>
      </c>
      <c r="K7" s="948">
        <f t="shared" si="1"/>
        <v>2603</v>
      </c>
      <c r="L7" s="948">
        <f t="shared" si="1"/>
        <v>2606</v>
      </c>
      <c r="M7" s="948">
        <f t="shared" si="1"/>
        <v>2609</v>
      </c>
      <c r="N7" s="948">
        <f t="shared" si="1"/>
        <v>2612</v>
      </c>
      <c r="P7" s="948">
        <f>C7</f>
        <v>2403</v>
      </c>
      <c r="Q7" s="948">
        <f t="shared" ref="Q7:AA7" si="2">D7</f>
        <v>2406</v>
      </c>
      <c r="R7" s="948">
        <f t="shared" si="2"/>
        <v>2409</v>
      </c>
      <c r="S7" s="948">
        <f t="shared" si="2"/>
        <v>2412</v>
      </c>
      <c r="T7" s="948">
        <f t="shared" si="2"/>
        <v>2503</v>
      </c>
      <c r="U7" s="948">
        <f t="shared" si="2"/>
        <v>2506</v>
      </c>
      <c r="V7" s="948">
        <f t="shared" si="2"/>
        <v>2509</v>
      </c>
      <c r="W7" s="948">
        <f t="shared" si="2"/>
        <v>2512</v>
      </c>
      <c r="X7" s="948">
        <f t="shared" si="2"/>
        <v>2603</v>
      </c>
      <c r="Y7" s="948">
        <f t="shared" si="2"/>
        <v>2606</v>
      </c>
      <c r="Z7" s="948">
        <f t="shared" si="2"/>
        <v>2609</v>
      </c>
      <c r="AA7" s="948">
        <f t="shared" si="2"/>
        <v>2612</v>
      </c>
      <c r="AC7" s="777" t="s">
        <v>221</v>
      </c>
      <c r="AD7" s="948">
        <v>2026</v>
      </c>
      <c r="AE7" s="948">
        <v>2025</v>
      </c>
      <c r="AF7" s="948">
        <v>2026</v>
      </c>
      <c r="AG7" s="948">
        <v>2025</v>
      </c>
      <c r="AH7" s="948">
        <v>2026</v>
      </c>
      <c r="AI7" s="948">
        <v>2025</v>
      </c>
      <c r="AK7" s="1522"/>
      <c r="AL7" s="1754" t="s">
        <v>218</v>
      </c>
      <c r="AM7" s="948">
        <v>2026</v>
      </c>
      <c r="AN7" s="948">
        <v>2025</v>
      </c>
      <c r="AO7" s="948">
        <v>2026</v>
      </c>
      <c r="AP7" s="948">
        <v>2025</v>
      </c>
      <c r="AQ7" s="948">
        <v>2026</v>
      </c>
      <c r="AR7" s="948">
        <v>2025</v>
      </c>
    </row>
    <row r="8" spans="2:44" ht="11.45" customHeight="1" x14ac:dyDescent="0.25">
      <c r="B8" s="778" t="s">
        <v>224</v>
      </c>
      <c r="C8" s="1448"/>
      <c r="D8" s="1448"/>
      <c r="E8" s="1448"/>
      <c r="F8" s="1448"/>
      <c r="G8" s="1448">
        <f>[2]rapkvart!O437</f>
        <v>1.6</v>
      </c>
      <c r="H8" s="1448">
        <f>[2]rapkvart!P437</f>
        <v>41.2</v>
      </c>
      <c r="I8" s="1448">
        <f>[2]rapkvart!Q437</f>
        <v>77.900000000000006</v>
      </c>
      <c r="J8" s="1448">
        <f>[2]rapkvart!R437</f>
        <v>130.4</v>
      </c>
      <c r="K8" s="1448">
        <f>[2]rapkvart!K437</f>
        <v>9.3000000000000007</v>
      </c>
      <c r="L8" s="1448">
        <f>[2]rapkvart!L437</f>
        <v>10.3</v>
      </c>
      <c r="M8" s="1448"/>
      <c r="N8" s="1448"/>
      <c r="P8" s="1448">
        <f>C8</f>
        <v>0</v>
      </c>
      <c r="Q8" s="1468">
        <f>D8-C8</f>
        <v>0</v>
      </c>
      <c r="R8" s="1468">
        <f t="shared" ref="R8:R17" si="3">E8-D8</f>
        <v>0</v>
      </c>
      <c r="S8" s="1468">
        <f t="shared" ref="S8:S17" si="4">F8-E8</f>
        <v>0</v>
      </c>
      <c r="T8" s="1448">
        <f>G8</f>
        <v>1.6</v>
      </c>
      <c r="U8" s="1468">
        <f>H8-G8</f>
        <v>39.6</v>
      </c>
      <c r="V8" s="1468">
        <f t="shared" ref="V8:W17" si="5">I8-H8</f>
        <v>36.700000000000003</v>
      </c>
      <c r="W8" s="1468">
        <f t="shared" si="5"/>
        <v>52.5</v>
      </c>
      <c r="X8" s="1448">
        <f>K8</f>
        <v>9.3000000000000007</v>
      </c>
      <c r="Y8" s="1468">
        <f>L8-K8</f>
        <v>1</v>
      </c>
      <c r="Z8" s="1468">
        <f t="shared" ref="Z8:Z17" si="6">M8-L8</f>
        <v>-10.3</v>
      </c>
      <c r="AA8" s="1468">
        <f t="shared" ref="AA8:AA17" si="7">N8-M8</f>
        <v>0</v>
      </c>
      <c r="AC8" s="778" t="s">
        <v>224</v>
      </c>
      <c r="AD8" s="957">
        <f>Y8</f>
        <v>1</v>
      </c>
      <c r="AE8" s="958">
        <f>U8</f>
        <v>39.6</v>
      </c>
      <c r="AF8" s="957">
        <f>SUM(X8:Y8)</f>
        <v>10.3</v>
      </c>
      <c r="AG8" s="958">
        <f>SUM(T8:U8)</f>
        <v>41.2</v>
      </c>
      <c r="AH8" s="957">
        <f>SUM(V8:Y8)</f>
        <v>99.5</v>
      </c>
      <c r="AI8" s="958">
        <f>SUM(T8:W8)</f>
        <v>130.4</v>
      </c>
      <c r="AL8" s="1755" t="s">
        <v>563</v>
      </c>
      <c r="AM8" s="957">
        <f>AD8</f>
        <v>1</v>
      </c>
      <c r="AN8" s="958">
        <f t="shared" ref="AN8:AR8" si="8">AE8</f>
        <v>39.6</v>
      </c>
      <c r="AO8" s="957">
        <f t="shared" si="8"/>
        <v>10.3</v>
      </c>
      <c r="AP8" s="958">
        <f t="shared" si="8"/>
        <v>41.2</v>
      </c>
      <c r="AQ8" s="957">
        <f t="shared" si="8"/>
        <v>99.5</v>
      </c>
      <c r="AR8" s="958">
        <f t="shared" si="8"/>
        <v>130.4</v>
      </c>
    </row>
    <row r="9" spans="2:44" ht="11.45" customHeight="1" x14ac:dyDescent="0.25">
      <c r="B9" s="778" t="s">
        <v>564</v>
      </c>
      <c r="C9" s="1448"/>
      <c r="D9" s="1448"/>
      <c r="E9" s="1448"/>
      <c r="F9" s="1448"/>
      <c r="G9" s="1448">
        <f>[2]rapkvart!O438</f>
        <v>-3.4</v>
      </c>
      <c r="H9" s="1448">
        <f>[2]rapkvart!P438</f>
        <v>-50.8</v>
      </c>
      <c r="I9" s="1448">
        <f>[2]rapkvart!Q438</f>
        <v>-91.1</v>
      </c>
      <c r="J9" s="1448">
        <f>[2]rapkvart!R438</f>
        <v>-150.1</v>
      </c>
      <c r="K9" s="1448">
        <f>[2]rapkvart!K438</f>
        <v>-10.9</v>
      </c>
      <c r="L9" s="1448">
        <f>[2]rapkvart!L438</f>
        <v>-11.8</v>
      </c>
      <c r="M9" s="1448"/>
      <c r="N9" s="1448"/>
      <c r="P9" s="1448">
        <f t="shared" ref="P9:P17" si="9">C9</f>
        <v>0</v>
      </c>
      <c r="Q9" s="1468">
        <f t="shared" ref="Q9:Q17" si="10">D9-C9</f>
        <v>0</v>
      </c>
      <c r="R9" s="1468">
        <f t="shared" si="3"/>
        <v>0</v>
      </c>
      <c r="S9" s="1468">
        <f t="shared" si="4"/>
        <v>0</v>
      </c>
      <c r="T9" s="1448">
        <f t="shared" ref="T9:T17" si="11">G9</f>
        <v>-3.4</v>
      </c>
      <c r="U9" s="1468">
        <f t="shared" ref="U9:U17" si="12">H9-G9</f>
        <v>-47.4</v>
      </c>
      <c r="V9" s="1468">
        <f t="shared" si="5"/>
        <v>-40.299999999999997</v>
      </c>
      <c r="W9" s="1468">
        <f t="shared" si="5"/>
        <v>-59</v>
      </c>
      <c r="X9" s="1448">
        <f t="shared" ref="X9:X17" si="13">K9</f>
        <v>-10.9</v>
      </c>
      <c r="Y9" s="1468">
        <f t="shared" ref="Y9:Y17" si="14">L9-K9</f>
        <v>-0.90000000000000036</v>
      </c>
      <c r="Z9" s="1468">
        <f t="shared" si="6"/>
        <v>11.8</v>
      </c>
      <c r="AA9" s="1468">
        <f t="shared" si="7"/>
        <v>0</v>
      </c>
      <c r="AC9" s="778" t="s">
        <v>564</v>
      </c>
      <c r="AD9" s="957">
        <f t="shared" ref="AD9:AD17" si="15">Y9</f>
        <v>-0.90000000000000036</v>
      </c>
      <c r="AE9" s="958">
        <f t="shared" ref="AE9:AE17" si="16">U9</f>
        <v>-47.4</v>
      </c>
      <c r="AF9" s="957">
        <f t="shared" ref="AF9:AF17" si="17">SUM(X9:Y9)</f>
        <v>-11.8</v>
      </c>
      <c r="AG9" s="958">
        <f t="shared" ref="AG9:AG17" si="18">SUM(T9:U9)</f>
        <v>-50.8</v>
      </c>
      <c r="AH9" s="957">
        <f t="shared" ref="AH9:AH17" si="19">SUM(V9:Y9)</f>
        <v>-111.10000000000001</v>
      </c>
      <c r="AI9" s="958">
        <f t="shared" ref="AI9:AI17" si="20">SUM(T9:W9)</f>
        <v>-150.1</v>
      </c>
      <c r="AL9" s="1755" t="s">
        <v>228</v>
      </c>
      <c r="AM9" s="957">
        <f t="shared" ref="AM9:AM17" si="21">AD9</f>
        <v>-0.90000000000000036</v>
      </c>
      <c r="AN9" s="958">
        <f t="shared" ref="AN9:AN17" si="22">AE9</f>
        <v>-47.4</v>
      </c>
      <c r="AO9" s="957">
        <f t="shared" ref="AO9:AO17" si="23">AF9</f>
        <v>-11.8</v>
      </c>
      <c r="AP9" s="958">
        <f t="shared" ref="AP9:AP17" si="24">AG9</f>
        <v>-50.8</v>
      </c>
      <c r="AQ9" s="957">
        <f t="shared" ref="AQ9:AQ17" si="25">AH9</f>
        <v>-111.10000000000001</v>
      </c>
      <c r="AR9" s="958">
        <f t="shared" ref="AR9:AR17" si="26">AI9</f>
        <v>-150.1</v>
      </c>
    </row>
    <row r="10" spans="2:44" ht="11.45" customHeight="1" x14ac:dyDescent="0.25">
      <c r="B10" s="778" t="s">
        <v>565</v>
      </c>
      <c r="C10" s="1448"/>
      <c r="D10" s="1448"/>
      <c r="E10" s="1448"/>
      <c r="F10" s="1448"/>
      <c r="G10" s="1448">
        <f>[2]rapkvart!O439</f>
        <v>-0.2</v>
      </c>
      <c r="H10" s="1448">
        <f>[2]rapkvart!P439</f>
        <v>-0.2</v>
      </c>
      <c r="I10" s="1448">
        <f>[2]rapkvart!Q439</f>
        <v>-0.5</v>
      </c>
      <c r="J10" s="1448">
        <f>[2]rapkvart!R439</f>
        <v>-1.1000000000000001</v>
      </c>
      <c r="K10" s="1448">
        <f>[2]rapkvart!K439</f>
        <v>0</v>
      </c>
      <c r="L10" s="1448">
        <f>[2]rapkvart!L439</f>
        <v>0</v>
      </c>
      <c r="M10" s="1448"/>
      <c r="N10" s="1448"/>
      <c r="P10" s="1448">
        <f t="shared" si="9"/>
        <v>0</v>
      </c>
      <c r="Q10" s="1468">
        <f t="shared" si="10"/>
        <v>0</v>
      </c>
      <c r="R10" s="1468">
        <f t="shared" si="3"/>
        <v>0</v>
      </c>
      <c r="S10" s="1468">
        <f t="shared" si="4"/>
        <v>0</v>
      </c>
      <c r="T10" s="1448">
        <f t="shared" si="11"/>
        <v>-0.2</v>
      </c>
      <c r="U10" s="1468">
        <f t="shared" si="12"/>
        <v>0</v>
      </c>
      <c r="V10" s="1468">
        <f t="shared" si="5"/>
        <v>-0.3</v>
      </c>
      <c r="W10" s="1468">
        <f t="shared" si="5"/>
        <v>-0.60000000000000009</v>
      </c>
      <c r="X10" s="1448">
        <f t="shared" si="13"/>
        <v>0</v>
      </c>
      <c r="Y10" s="1468">
        <f t="shared" si="14"/>
        <v>0</v>
      </c>
      <c r="Z10" s="1468">
        <f t="shared" si="6"/>
        <v>0</v>
      </c>
      <c r="AA10" s="1468">
        <f t="shared" si="7"/>
        <v>0</v>
      </c>
      <c r="AC10" s="259" t="s">
        <v>565</v>
      </c>
      <c r="AD10" s="1750">
        <f t="shared" si="15"/>
        <v>0</v>
      </c>
      <c r="AE10" s="1738">
        <f t="shared" si="16"/>
        <v>0</v>
      </c>
      <c r="AF10" s="1750">
        <f t="shared" si="17"/>
        <v>0</v>
      </c>
      <c r="AG10" s="1738">
        <f t="shared" si="18"/>
        <v>-0.2</v>
      </c>
      <c r="AH10" s="1750">
        <f t="shared" si="19"/>
        <v>-0.90000000000000013</v>
      </c>
      <c r="AI10" s="1738">
        <f t="shared" si="20"/>
        <v>-1.1000000000000001</v>
      </c>
      <c r="AL10" s="1755" t="s">
        <v>241</v>
      </c>
      <c r="AM10" s="957">
        <f t="shared" si="21"/>
        <v>0</v>
      </c>
      <c r="AN10" s="958">
        <f t="shared" si="22"/>
        <v>0</v>
      </c>
      <c r="AO10" s="957">
        <f t="shared" si="23"/>
        <v>0</v>
      </c>
      <c r="AP10" s="958">
        <f t="shared" si="24"/>
        <v>-0.2</v>
      </c>
      <c r="AQ10" s="957">
        <f t="shared" si="25"/>
        <v>-0.90000000000000013</v>
      </c>
      <c r="AR10" s="958">
        <f t="shared" si="26"/>
        <v>-1.1000000000000001</v>
      </c>
    </row>
    <row r="11" spans="2:44" ht="11.45" customHeight="1" x14ac:dyDescent="0.25">
      <c r="B11" s="779" t="s">
        <v>566</v>
      </c>
      <c r="C11" s="1449"/>
      <c r="D11" s="1449"/>
      <c r="E11" s="1449"/>
      <c r="F11" s="1449"/>
      <c r="G11" s="1449">
        <f>[2]rapkvart!O440</f>
        <v>-1.4</v>
      </c>
      <c r="H11" s="1449">
        <f>[2]rapkvart!P440</f>
        <v>-2.6</v>
      </c>
      <c r="I11" s="1449">
        <f>[2]rapkvart!Q440</f>
        <v>-6.7</v>
      </c>
      <c r="J11" s="1449">
        <f>[2]rapkvart!R440</f>
        <v>-18.3</v>
      </c>
      <c r="K11" s="1449">
        <f>[2]rapkvart!K440</f>
        <v>-1.7</v>
      </c>
      <c r="L11" s="1449">
        <f>[2]rapkvart!L440</f>
        <v>-2.5</v>
      </c>
      <c r="M11" s="1449"/>
      <c r="N11" s="1449"/>
      <c r="P11" s="1449">
        <f t="shared" si="9"/>
        <v>0</v>
      </c>
      <c r="Q11" s="1469">
        <f t="shared" si="10"/>
        <v>0</v>
      </c>
      <c r="R11" s="1469">
        <f t="shared" si="3"/>
        <v>0</v>
      </c>
      <c r="S11" s="1469">
        <f t="shared" si="4"/>
        <v>0</v>
      </c>
      <c r="T11" s="1449">
        <f t="shared" si="11"/>
        <v>-1.4</v>
      </c>
      <c r="U11" s="1469">
        <f t="shared" si="12"/>
        <v>-1.2000000000000002</v>
      </c>
      <c r="V11" s="1469">
        <f t="shared" si="5"/>
        <v>-4.0999999999999996</v>
      </c>
      <c r="W11" s="1469">
        <f t="shared" si="5"/>
        <v>-11.600000000000001</v>
      </c>
      <c r="X11" s="1449">
        <f t="shared" si="13"/>
        <v>-1.7</v>
      </c>
      <c r="Y11" s="1469">
        <f t="shared" si="14"/>
        <v>-0.8</v>
      </c>
      <c r="Z11" s="1469">
        <f t="shared" si="6"/>
        <v>2.5</v>
      </c>
      <c r="AA11" s="1469">
        <f t="shared" si="7"/>
        <v>0</v>
      </c>
      <c r="AC11" s="779" t="s">
        <v>566</v>
      </c>
      <c r="AD11" s="1206">
        <f t="shared" si="15"/>
        <v>-0.8</v>
      </c>
      <c r="AE11" s="959">
        <f t="shared" si="16"/>
        <v>-1.2000000000000002</v>
      </c>
      <c r="AF11" s="1206">
        <f t="shared" si="17"/>
        <v>-2.5</v>
      </c>
      <c r="AG11" s="959">
        <f t="shared" si="18"/>
        <v>-2.6</v>
      </c>
      <c r="AH11" s="1206">
        <f t="shared" si="19"/>
        <v>-18.200000000000003</v>
      </c>
      <c r="AI11" s="959">
        <f t="shared" si="20"/>
        <v>-18.3</v>
      </c>
      <c r="AL11" s="1756" t="s">
        <v>246</v>
      </c>
      <c r="AM11" s="1757">
        <f t="shared" si="21"/>
        <v>-0.8</v>
      </c>
      <c r="AN11" s="959">
        <f t="shared" si="22"/>
        <v>-1.2000000000000002</v>
      </c>
      <c r="AO11" s="1757">
        <f t="shared" si="23"/>
        <v>-2.5</v>
      </c>
      <c r="AP11" s="959">
        <f t="shared" si="24"/>
        <v>-2.6</v>
      </c>
      <c r="AQ11" s="1757">
        <f t="shared" si="25"/>
        <v>-18.200000000000003</v>
      </c>
      <c r="AR11" s="959">
        <f t="shared" si="26"/>
        <v>-18.3</v>
      </c>
    </row>
    <row r="12" spans="2:44" ht="11.45" customHeight="1" x14ac:dyDescent="0.25">
      <c r="B12" s="1205" t="s">
        <v>294</v>
      </c>
      <c r="C12" s="1450"/>
      <c r="D12" s="1450"/>
      <c r="E12" s="1450"/>
      <c r="F12" s="1450"/>
      <c r="G12" s="1450">
        <f>[2]rapkvart!O441</f>
        <v>-3.3999999999999995</v>
      </c>
      <c r="H12" s="1450">
        <f>[2]rapkvart!P441</f>
        <v>-12.399999999999993</v>
      </c>
      <c r="I12" s="1450">
        <f>[2]rapkvart!Q441</f>
        <v>-20.399999999999988</v>
      </c>
      <c r="J12" s="1450">
        <f>[2]rapkvart!R441</f>
        <v>-39.099999999999994</v>
      </c>
      <c r="K12" s="1450">
        <f>[2]rapkvart!K441</f>
        <v>-3.3</v>
      </c>
      <c r="L12" s="1450">
        <f>[2]rapkvart!L441</f>
        <v>-4</v>
      </c>
      <c r="M12" s="1450"/>
      <c r="N12" s="1450"/>
      <c r="P12" s="1450">
        <f t="shared" si="9"/>
        <v>0</v>
      </c>
      <c r="Q12" s="1470">
        <f t="shared" si="10"/>
        <v>0</v>
      </c>
      <c r="R12" s="1470">
        <f t="shared" si="3"/>
        <v>0</v>
      </c>
      <c r="S12" s="1470">
        <f t="shared" si="4"/>
        <v>0</v>
      </c>
      <c r="T12" s="1450">
        <f t="shared" si="11"/>
        <v>-3.3999999999999995</v>
      </c>
      <c r="U12" s="1470">
        <f t="shared" si="12"/>
        <v>-8.9999999999999929</v>
      </c>
      <c r="V12" s="1470">
        <f t="shared" si="5"/>
        <v>-7.9999999999999947</v>
      </c>
      <c r="W12" s="1470">
        <f t="shared" si="5"/>
        <v>-18.700000000000006</v>
      </c>
      <c r="X12" s="1450">
        <f t="shared" si="13"/>
        <v>-3.3</v>
      </c>
      <c r="Y12" s="1470">
        <f t="shared" si="14"/>
        <v>-0.70000000000000018</v>
      </c>
      <c r="Z12" s="1470">
        <f t="shared" si="6"/>
        <v>4</v>
      </c>
      <c r="AA12" s="1470">
        <f t="shared" si="7"/>
        <v>0</v>
      </c>
      <c r="AC12" s="1205" t="s">
        <v>294</v>
      </c>
      <c r="AD12" s="1207">
        <f t="shared" si="15"/>
        <v>-0.70000000000000018</v>
      </c>
      <c r="AE12" s="1208">
        <f t="shared" si="16"/>
        <v>-8.9999999999999929</v>
      </c>
      <c r="AF12" s="1207">
        <f t="shared" si="17"/>
        <v>-4</v>
      </c>
      <c r="AG12" s="1208">
        <f t="shared" si="18"/>
        <v>-12.399999999999991</v>
      </c>
      <c r="AH12" s="1207">
        <f t="shared" si="19"/>
        <v>-30.700000000000003</v>
      </c>
      <c r="AI12" s="1208">
        <f t="shared" si="20"/>
        <v>-39.099999999999994</v>
      </c>
      <c r="AL12" s="1758" t="s">
        <v>255</v>
      </c>
      <c r="AM12" s="1207">
        <f t="shared" si="21"/>
        <v>-0.70000000000000018</v>
      </c>
      <c r="AN12" s="1208">
        <f t="shared" si="22"/>
        <v>-8.9999999999999929</v>
      </c>
      <c r="AO12" s="1207">
        <f t="shared" si="23"/>
        <v>-4</v>
      </c>
      <c r="AP12" s="1208">
        <f t="shared" si="24"/>
        <v>-12.399999999999991</v>
      </c>
      <c r="AQ12" s="1207">
        <f t="shared" si="25"/>
        <v>-30.700000000000003</v>
      </c>
      <c r="AR12" s="1208">
        <f t="shared" si="26"/>
        <v>-39.099999999999994</v>
      </c>
    </row>
    <row r="13" spans="2:44" ht="11.45" customHeight="1" x14ac:dyDescent="0.25">
      <c r="B13" s="778" t="s">
        <v>300</v>
      </c>
      <c r="C13" s="1448"/>
      <c r="D13" s="1448"/>
      <c r="E13" s="1448"/>
      <c r="F13" s="1448"/>
      <c r="G13" s="1448">
        <f>[2]rapkvart!O442</f>
        <v>0</v>
      </c>
      <c r="H13" s="1448">
        <f>[2]rapkvart!P442</f>
        <v>0.1</v>
      </c>
      <c r="I13" s="1448">
        <f>[2]rapkvart!Q442</f>
        <v>0.5</v>
      </c>
      <c r="J13" s="1448">
        <f>[2]rapkvart!R442</f>
        <v>0.8</v>
      </c>
      <c r="K13" s="1448">
        <f>[2]rapkvart!K442</f>
        <v>0</v>
      </c>
      <c r="L13" s="1448">
        <f>[2]rapkvart!L442</f>
        <v>0</v>
      </c>
      <c r="M13" s="1448"/>
      <c r="N13" s="1448"/>
      <c r="P13" s="1448">
        <f t="shared" si="9"/>
        <v>0</v>
      </c>
      <c r="Q13" s="1468">
        <f t="shared" si="10"/>
        <v>0</v>
      </c>
      <c r="R13" s="1468">
        <f t="shared" si="3"/>
        <v>0</v>
      </c>
      <c r="S13" s="1468">
        <f t="shared" si="4"/>
        <v>0</v>
      </c>
      <c r="T13" s="1448">
        <f t="shared" si="11"/>
        <v>0</v>
      </c>
      <c r="U13" s="1468">
        <f t="shared" si="12"/>
        <v>0.1</v>
      </c>
      <c r="V13" s="1468">
        <f t="shared" si="5"/>
        <v>0.4</v>
      </c>
      <c r="W13" s="1468">
        <f t="shared" si="5"/>
        <v>0.30000000000000004</v>
      </c>
      <c r="X13" s="1448">
        <f t="shared" si="13"/>
        <v>0</v>
      </c>
      <c r="Y13" s="1468">
        <f t="shared" si="14"/>
        <v>0</v>
      </c>
      <c r="Z13" s="1468">
        <f t="shared" si="6"/>
        <v>0</v>
      </c>
      <c r="AA13" s="1468">
        <f t="shared" si="7"/>
        <v>0</v>
      </c>
      <c r="AC13" s="259" t="s">
        <v>300</v>
      </c>
      <c r="AD13" s="1750">
        <f t="shared" si="15"/>
        <v>0</v>
      </c>
      <c r="AE13" s="1738">
        <f t="shared" si="16"/>
        <v>0.1</v>
      </c>
      <c r="AF13" s="1750">
        <f t="shared" si="17"/>
        <v>0</v>
      </c>
      <c r="AG13" s="1738">
        <f t="shared" si="18"/>
        <v>0.1</v>
      </c>
      <c r="AH13" s="1750">
        <f t="shared" si="19"/>
        <v>0.70000000000000007</v>
      </c>
      <c r="AI13" s="1738">
        <f t="shared" si="20"/>
        <v>0.8</v>
      </c>
      <c r="AL13" s="1755" t="s">
        <v>299</v>
      </c>
      <c r="AM13" s="957">
        <f t="shared" si="21"/>
        <v>0</v>
      </c>
      <c r="AN13" s="958">
        <f t="shared" si="22"/>
        <v>0.1</v>
      </c>
      <c r="AO13" s="957">
        <f t="shared" si="23"/>
        <v>0</v>
      </c>
      <c r="AP13" s="958">
        <f t="shared" si="24"/>
        <v>0.1</v>
      </c>
      <c r="AQ13" s="957">
        <f t="shared" si="25"/>
        <v>0.70000000000000007</v>
      </c>
      <c r="AR13" s="958">
        <f t="shared" si="26"/>
        <v>0.8</v>
      </c>
    </row>
    <row r="14" spans="2:44" ht="11.45" customHeight="1" x14ac:dyDescent="0.25">
      <c r="B14" s="779" t="s">
        <v>303</v>
      </c>
      <c r="C14" s="1449"/>
      <c r="D14" s="1449"/>
      <c r="E14" s="1449"/>
      <c r="F14" s="1449"/>
      <c r="G14" s="1449">
        <f>[2]rapkvart!O443</f>
        <v>0</v>
      </c>
      <c r="H14" s="1449">
        <f>[2]rapkvart!P443</f>
        <v>-0.5</v>
      </c>
      <c r="I14" s="1449">
        <f>[2]rapkvart!Q443</f>
        <v>-0.7</v>
      </c>
      <c r="J14" s="1449">
        <f>[2]rapkvart!R443</f>
        <v>-1.7</v>
      </c>
      <c r="K14" s="1449">
        <f>[2]rapkvart!K443</f>
        <v>-0.2</v>
      </c>
      <c r="L14" s="1449">
        <f>[2]rapkvart!L443</f>
        <v>-0.3</v>
      </c>
      <c r="M14" s="1449"/>
      <c r="N14" s="1449"/>
      <c r="P14" s="1449">
        <f t="shared" si="9"/>
        <v>0</v>
      </c>
      <c r="Q14" s="1469">
        <f t="shared" si="10"/>
        <v>0</v>
      </c>
      <c r="R14" s="1469">
        <f t="shared" si="3"/>
        <v>0</v>
      </c>
      <c r="S14" s="1469">
        <f t="shared" si="4"/>
        <v>0</v>
      </c>
      <c r="T14" s="1449">
        <f t="shared" si="11"/>
        <v>0</v>
      </c>
      <c r="U14" s="1469">
        <f t="shared" si="12"/>
        <v>-0.5</v>
      </c>
      <c r="V14" s="1469">
        <f t="shared" si="5"/>
        <v>-0.19999999999999996</v>
      </c>
      <c r="W14" s="1469">
        <f t="shared" si="5"/>
        <v>-1</v>
      </c>
      <c r="X14" s="1449">
        <f t="shared" si="13"/>
        <v>-0.2</v>
      </c>
      <c r="Y14" s="1469">
        <f t="shared" si="14"/>
        <v>-9.9999999999999978E-2</v>
      </c>
      <c r="Z14" s="1469">
        <f t="shared" si="6"/>
        <v>0.3</v>
      </c>
      <c r="AA14" s="1469">
        <f t="shared" si="7"/>
        <v>0</v>
      </c>
      <c r="AC14" s="779" t="s">
        <v>303</v>
      </c>
      <c r="AD14" s="1206">
        <f t="shared" si="15"/>
        <v>-9.9999999999999978E-2</v>
      </c>
      <c r="AE14" s="959">
        <f t="shared" si="16"/>
        <v>-0.5</v>
      </c>
      <c r="AF14" s="1206">
        <f t="shared" si="17"/>
        <v>-0.3</v>
      </c>
      <c r="AG14" s="959">
        <f t="shared" si="18"/>
        <v>-0.5</v>
      </c>
      <c r="AH14" s="1206">
        <f t="shared" si="19"/>
        <v>-1.5</v>
      </c>
      <c r="AI14" s="959">
        <f t="shared" si="20"/>
        <v>-1.7</v>
      </c>
      <c r="AL14" s="1756" t="s">
        <v>302</v>
      </c>
      <c r="AM14" s="1206">
        <f t="shared" si="21"/>
        <v>-9.9999999999999978E-2</v>
      </c>
      <c r="AN14" s="959">
        <f t="shared" si="22"/>
        <v>-0.5</v>
      </c>
      <c r="AO14" s="1206">
        <f t="shared" si="23"/>
        <v>-0.3</v>
      </c>
      <c r="AP14" s="959">
        <f t="shared" si="24"/>
        <v>-0.5</v>
      </c>
      <c r="AQ14" s="1206">
        <f t="shared" si="25"/>
        <v>-1.5</v>
      </c>
      <c r="AR14" s="959">
        <f t="shared" si="26"/>
        <v>-1.7</v>
      </c>
    </row>
    <row r="15" spans="2:44" ht="11.45" customHeight="1" x14ac:dyDescent="0.25">
      <c r="B15" s="1205" t="s">
        <v>312</v>
      </c>
      <c r="C15" s="1450"/>
      <c r="D15" s="1450"/>
      <c r="E15" s="1450"/>
      <c r="F15" s="1450"/>
      <c r="G15" s="1450">
        <f>[2]rapkvart!O444</f>
        <v>-3.3999999999999995</v>
      </c>
      <c r="H15" s="1450">
        <f>[2]rapkvart!P444</f>
        <v>-12.799999999999994</v>
      </c>
      <c r="I15" s="1450">
        <f>[2]rapkvart!Q444</f>
        <v>-20.599999999999987</v>
      </c>
      <c r="J15" s="1450">
        <f>[2]rapkvart!R444</f>
        <v>-40</v>
      </c>
      <c r="K15" s="1450">
        <f>[2]rapkvart!K444</f>
        <v>-3.5</v>
      </c>
      <c r="L15" s="1450">
        <f>[2]rapkvart!L444</f>
        <v>-4.3</v>
      </c>
      <c r="M15" s="1450"/>
      <c r="N15" s="1450"/>
      <c r="P15" s="1450">
        <f t="shared" si="9"/>
        <v>0</v>
      </c>
      <c r="Q15" s="1470">
        <f t="shared" si="10"/>
        <v>0</v>
      </c>
      <c r="R15" s="1470">
        <f t="shared" si="3"/>
        <v>0</v>
      </c>
      <c r="S15" s="1470">
        <f t="shared" si="4"/>
        <v>0</v>
      </c>
      <c r="T15" s="1450">
        <f t="shared" si="11"/>
        <v>-3.3999999999999995</v>
      </c>
      <c r="U15" s="1470">
        <f t="shared" si="12"/>
        <v>-9.399999999999995</v>
      </c>
      <c r="V15" s="1470">
        <f t="shared" si="5"/>
        <v>-7.7999999999999936</v>
      </c>
      <c r="W15" s="1470">
        <f t="shared" si="5"/>
        <v>-19.400000000000013</v>
      </c>
      <c r="X15" s="1450">
        <f t="shared" si="13"/>
        <v>-3.5</v>
      </c>
      <c r="Y15" s="1470">
        <f t="shared" si="14"/>
        <v>-0.79999999999999982</v>
      </c>
      <c r="Z15" s="1470">
        <f t="shared" si="6"/>
        <v>4.3</v>
      </c>
      <c r="AA15" s="1470">
        <f t="shared" si="7"/>
        <v>0</v>
      </c>
      <c r="AC15" s="257" t="s">
        <v>312</v>
      </c>
      <c r="AD15" s="1751">
        <f t="shared" si="15"/>
        <v>-0.79999999999999982</v>
      </c>
      <c r="AE15" s="1752">
        <f t="shared" si="16"/>
        <v>-9.399999999999995</v>
      </c>
      <c r="AF15" s="1751">
        <f t="shared" si="17"/>
        <v>-4.3</v>
      </c>
      <c r="AG15" s="1752">
        <f t="shared" si="18"/>
        <v>-12.799999999999994</v>
      </c>
      <c r="AH15" s="1751">
        <f t="shared" si="19"/>
        <v>-31.500000000000007</v>
      </c>
      <c r="AI15" s="1752">
        <f t="shared" si="20"/>
        <v>-40</v>
      </c>
      <c r="AL15" s="1758" t="s">
        <v>311</v>
      </c>
      <c r="AM15" s="1207">
        <f t="shared" si="21"/>
        <v>-0.79999999999999982</v>
      </c>
      <c r="AN15" s="1208">
        <f t="shared" si="22"/>
        <v>-9.399999999999995</v>
      </c>
      <c r="AO15" s="1207">
        <f t="shared" si="23"/>
        <v>-4.3</v>
      </c>
      <c r="AP15" s="1208">
        <f t="shared" si="24"/>
        <v>-12.799999999999994</v>
      </c>
      <c r="AQ15" s="1207">
        <f t="shared" si="25"/>
        <v>-31.500000000000007</v>
      </c>
      <c r="AR15" s="1208">
        <f t="shared" si="26"/>
        <v>-40</v>
      </c>
    </row>
    <row r="16" spans="2:44" ht="11.45" customHeight="1" x14ac:dyDescent="0.25">
      <c r="B16" s="779" t="s">
        <v>567</v>
      </c>
      <c r="C16" s="1449"/>
      <c r="D16" s="1449"/>
      <c r="E16" s="1449"/>
      <c r="F16" s="1449"/>
      <c r="G16" s="1449">
        <f>[2]rapkvart!O445</f>
        <v>0.7</v>
      </c>
      <c r="H16" s="1449">
        <f>[2]rapkvart!P445</f>
        <v>2.5</v>
      </c>
      <c r="I16" s="1449">
        <f>[2]rapkvart!Q445</f>
        <v>4</v>
      </c>
      <c r="J16" s="1449">
        <f>[2]rapkvart!R445</f>
        <v>7.9</v>
      </c>
      <c r="K16" s="1449">
        <f>[2]rapkvart!K445</f>
        <v>0.7</v>
      </c>
      <c r="L16" s="1449">
        <f>[2]rapkvart!L445</f>
        <v>0.9</v>
      </c>
      <c r="M16" s="1449"/>
      <c r="N16" s="1449"/>
      <c r="P16" s="1449">
        <f t="shared" si="9"/>
        <v>0</v>
      </c>
      <c r="Q16" s="1469">
        <f t="shared" si="10"/>
        <v>0</v>
      </c>
      <c r="R16" s="1469">
        <f t="shared" si="3"/>
        <v>0</v>
      </c>
      <c r="S16" s="1469">
        <f t="shared" si="4"/>
        <v>0</v>
      </c>
      <c r="T16" s="1449">
        <f t="shared" si="11"/>
        <v>0.7</v>
      </c>
      <c r="U16" s="1469">
        <f t="shared" si="12"/>
        <v>1.8</v>
      </c>
      <c r="V16" s="1469">
        <f t="shared" si="5"/>
        <v>1.5</v>
      </c>
      <c r="W16" s="1469">
        <f t="shared" si="5"/>
        <v>3.9000000000000004</v>
      </c>
      <c r="X16" s="1449">
        <f t="shared" si="13"/>
        <v>0.7</v>
      </c>
      <c r="Y16" s="1469">
        <f t="shared" si="14"/>
        <v>0.20000000000000007</v>
      </c>
      <c r="Z16" s="1469">
        <f t="shared" si="6"/>
        <v>-0.9</v>
      </c>
      <c r="AA16" s="1469">
        <f t="shared" si="7"/>
        <v>0</v>
      </c>
      <c r="AC16" s="779" t="s">
        <v>567</v>
      </c>
      <c r="AD16" s="1206">
        <f t="shared" si="15"/>
        <v>0.20000000000000007</v>
      </c>
      <c r="AE16" s="959">
        <f t="shared" si="16"/>
        <v>1.8</v>
      </c>
      <c r="AF16" s="1206">
        <f t="shared" si="17"/>
        <v>0.9</v>
      </c>
      <c r="AG16" s="959">
        <f t="shared" si="18"/>
        <v>2.5</v>
      </c>
      <c r="AH16" s="1206">
        <f t="shared" si="19"/>
        <v>6.3000000000000007</v>
      </c>
      <c r="AI16" s="959">
        <f t="shared" si="20"/>
        <v>7.9</v>
      </c>
      <c r="AL16" s="1756" t="s">
        <v>568</v>
      </c>
      <c r="AM16" s="1757">
        <f t="shared" si="21"/>
        <v>0.20000000000000007</v>
      </c>
      <c r="AN16" s="959">
        <f t="shared" si="22"/>
        <v>1.8</v>
      </c>
      <c r="AO16" s="1757">
        <f t="shared" si="23"/>
        <v>0.9</v>
      </c>
      <c r="AP16" s="959">
        <f t="shared" si="24"/>
        <v>2.5</v>
      </c>
      <c r="AQ16" s="1757">
        <f t="shared" si="25"/>
        <v>6.3000000000000007</v>
      </c>
      <c r="AR16" s="959">
        <f t="shared" si="26"/>
        <v>7.9</v>
      </c>
    </row>
    <row r="17" spans="2:44" ht="11.45" customHeight="1" x14ac:dyDescent="0.25">
      <c r="B17" s="1205" t="s">
        <v>569</v>
      </c>
      <c r="C17" s="1450"/>
      <c r="D17" s="1450"/>
      <c r="E17" s="1450"/>
      <c r="F17" s="1450"/>
      <c r="G17" s="1450">
        <f>[2]rapkvart!O446</f>
        <v>-2.6999999999999993</v>
      </c>
      <c r="H17" s="1450">
        <f>[2]rapkvart!P446</f>
        <v>-10.299999999999994</v>
      </c>
      <c r="I17" s="1450">
        <f>[2]rapkvart!Q446</f>
        <v>-16.599999999999987</v>
      </c>
      <c r="J17" s="1450">
        <f>[2]rapkvart!R446</f>
        <v>-32.1</v>
      </c>
      <c r="K17" s="1450">
        <f>[2]rapkvart!K446</f>
        <v>-2.8</v>
      </c>
      <c r="L17" s="1450">
        <f>[2]rapkvart!L446</f>
        <v>-3.4</v>
      </c>
      <c r="M17" s="1450"/>
      <c r="N17" s="1450"/>
      <c r="P17" s="1450">
        <f t="shared" si="9"/>
        <v>0</v>
      </c>
      <c r="Q17" s="1470">
        <f t="shared" si="10"/>
        <v>0</v>
      </c>
      <c r="R17" s="1470">
        <f t="shared" si="3"/>
        <v>0</v>
      </c>
      <c r="S17" s="1470">
        <f t="shared" si="4"/>
        <v>0</v>
      </c>
      <c r="T17" s="1450">
        <f t="shared" si="11"/>
        <v>-2.6999999999999993</v>
      </c>
      <c r="U17" s="1470">
        <f t="shared" si="12"/>
        <v>-7.5999999999999943</v>
      </c>
      <c r="V17" s="1470">
        <f t="shared" si="5"/>
        <v>-6.2999999999999936</v>
      </c>
      <c r="W17" s="1470">
        <f t="shared" si="5"/>
        <v>-15.500000000000014</v>
      </c>
      <c r="X17" s="1450">
        <f t="shared" si="13"/>
        <v>-2.8</v>
      </c>
      <c r="Y17" s="1470">
        <f t="shared" si="14"/>
        <v>-0.60000000000000009</v>
      </c>
      <c r="Z17" s="1470">
        <f t="shared" si="6"/>
        <v>3.4</v>
      </c>
      <c r="AA17" s="1470">
        <f t="shared" si="7"/>
        <v>0</v>
      </c>
      <c r="AC17" s="1205" t="s">
        <v>569</v>
      </c>
      <c r="AD17" s="1207">
        <f t="shared" si="15"/>
        <v>-0.60000000000000009</v>
      </c>
      <c r="AE17" s="1208">
        <f t="shared" si="16"/>
        <v>-7.5999999999999943</v>
      </c>
      <c r="AF17" s="1207">
        <f t="shared" si="17"/>
        <v>-3.4</v>
      </c>
      <c r="AG17" s="1208">
        <f t="shared" si="18"/>
        <v>-10.299999999999994</v>
      </c>
      <c r="AH17" s="1207">
        <f t="shared" si="19"/>
        <v>-25.20000000000001</v>
      </c>
      <c r="AI17" s="1208">
        <f t="shared" si="20"/>
        <v>-32.1</v>
      </c>
      <c r="AL17" s="1758" t="s">
        <v>570</v>
      </c>
      <c r="AM17" s="1207">
        <f t="shared" si="21"/>
        <v>-0.60000000000000009</v>
      </c>
      <c r="AN17" s="1208">
        <f t="shared" si="22"/>
        <v>-7.5999999999999943</v>
      </c>
      <c r="AO17" s="1207">
        <f t="shared" si="23"/>
        <v>-3.4</v>
      </c>
      <c r="AP17" s="1208">
        <f t="shared" si="24"/>
        <v>-10.299999999999994</v>
      </c>
      <c r="AQ17" s="1207">
        <f t="shared" si="25"/>
        <v>-25.20000000000001</v>
      </c>
      <c r="AR17" s="1208">
        <f t="shared" si="26"/>
        <v>-32.1</v>
      </c>
    </row>
    <row r="18" spans="2:44" x14ac:dyDescent="0.25">
      <c r="AL18" s="774"/>
    </row>
    <row r="19" spans="2:44" x14ac:dyDescent="0.25">
      <c r="B19" s="775" t="s">
        <v>539</v>
      </c>
      <c r="C19" s="261" t="str">
        <f>C6</f>
        <v>YTD</v>
      </c>
      <c r="D19" s="261" t="str">
        <f t="shared" ref="D19:N19" si="27">D6</f>
        <v>YTD</v>
      </c>
      <c r="E19" s="261" t="str">
        <f t="shared" si="27"/>
        <v>YTD</v>
      </c>
      <c r="F19" s="261" t="str">
        <f t="shared" si="27"/>
        <v>YTD</v>
      </c>
      <c r="G19" s="261" t="str">
        <f t="shared" si="27"/>
        <v>YTD</v>
      </c>
      <c r="H19" s="261" t="str">
        <f t="shared" si="27"/>
        <v>YTD</v>
      </c>
      <c r="I19" s="261" t="str">
        <f t="shared" si="27"/>
        <v>YTD</v>
      </c>
      <c r="J19" s="261" t="str">
        <f t="shared" si="27"/>
        <v>YTD</v>
      </c>
      <c r="K19" s="261" t="str">
        <f t="shared" si="27"/>
        <v>YTD</v>
      </c>
      <c r="L19" s="261" t="str">
        <f t="shared" si="27"/>
        <v>YTD</v>
      </c>
      <c r="M19" s="261" t="str">
        <f t="shared" si="27"/>
        <v>YTD</v>
      </c>
      <c r="N19" s="261" t="str">
        <f t="shared" si="27"/>
        <v>YTD</v>
      </c>
      <c r="P19" s="261" t="str">
        <f t="shared" ref="P19:AA19" si="28">P6</f>
        <v>QTD</v>
      </c>
      <c r="Q19" s="261" t="str">
        <f t="shared" si="28"/>
        <v>QTD</v>
      </c>
      <c r="R19" s="261" t="str">
        <f t="shared" si="28"/>
        <v>QTD</v>
      </c>
      <c r="S19" s="261" t="str">
        <f t="shared" si="28"/>
        <v>QTD</v>
      </c>
      <c r="T19" s="261" t="str">
        <f t="shared" si="28"/>
        <v>QTD</v>
      </c>
      <c r="U19" s="261" t="str">
        <f t="shared" si="28"/>
        <v>QTD</v>
      </c>
      <c r="V19" s="261" t="str">
        <f t="shared" si="28"/>
        <v>QTD</v>
      </c>
      <c r="W19" s="261" t="str">
        <f t="shared" si="28"/>
        <v>QTD</v>
      </c>
      <c r="X19" s="261" t="str">
        <f t="shared" si="28"/>
        <v>QTD</v>
      </c>
      <c r="Y19" s="261" t="str">
        <f t="shared" si="28"/>
        <v>QTD</v>
      </c>
      <c r="Z19" s="261" t="str">
        <f t="shared" si="28"/>
        <v>QTD</v>
      </c>
      <c r="AA19" s="261" t="str">
        <f t="shared" si="28"/>
        <v>QTD</v>
      </c>
      <c r="AC19" s="775" t="s">
        <v>539</v>
      </c>
      <c r="AD19" s="261" t="str">
        <f>AD6</f>
        <v>Kvartal 2</v>
      </c>
      <c r="AE19" s="261" t="str">
        <f t="shared" ref="AE19:AI19" si="29">AE6</f>
        <v>Kvartal 2</v>
      </c>
      <c r="AF19" s="261" t="str">
        <f t="shared" si="29"/>
        <v>Kvartal 1-2</v>
      </c>
      <c r="AG19" s="261" t="str">
        <f t="shared" si="29"/>
        <v>Kvartal 1-2</v>
      </c>
      <c r="AH19" s="261" t="str">
        <f t="shared" si="29"/>
        <v>Kvartal 2, R12</v>
      </c>
      <c r="AI19" s="261" t="str">
        <f t="shared" si="29"/>
        <v>Helår</v>
      </c>
      <c r="AK19" s="776"/>
      <c r="AL19" s="1759" t="s">
        <v>540</v>
      </c>
      <c r="AM19" s="261" t="str">
        <f t="shared" ref="AM19:AR19" si="30">AM6</f>
        <v>Q2</v>
      </c>
      <c r="AN19" s="261" t="str">
        <f t="shared" si="30"/>
        <v>Q2</v>
      </c>
      <c r="AO19" s="261" t="str">
        <f t="shared" si="30"/>
        <v>Q1-Q2</v>
      </c>
      <c r="AP19" s="261" t="str">
        <f t="shared" si="30"/>
        <v>Q1-Q2</v>
      </c>
      <c r="AQ19" s="261" t="str">
        <f t="shared" si="30"/>
        <v>Q2, R12</v>
      </c>
      <c r="AR19" s="261" t="str">
        <f t="shared" si="30"/>
        <v>Full Year</v>
      </c>
    </row>
    <row r="20" spans="2:44" x14ac:dyDescent="0.25">
      <c r="B20" s="777"/>
      <c r="C20" s="948">
        <f>C7</f>
        <v>2403</v>
      </c>
      <c r="D20" s="948">
        <f t="shared" ref="D20:N20" si="31">D7</f>
        <v>2406</v>
      </c>
      <c r="E20" s="948">
        <f t="shared" si="31"/>
        <v>2409</v>
      </c>
      <c r="F20" s="948">
        <f t="shared" si="31"/>
        <v>2412</v>
      </c>
      <c r="G20" s="948">
        <f t="shared" si="31"/>
        <v>2503</v>
      </c>
      <c r="H20" s="948">
        <f t="shared" si="31"/>
        <v>2506</v>
      </c>
      <c r="I20" s="948">
        <f t="shared" si="31"/>
        <v>2509</v>
      </c>
      <c r="J20" s="948">
        <f t="shared" si="31"/>
        <v>2512</v>
      </c>
      <c r="K20" s="948">
        <f t="shared" si="31"/>
        <v>2603</v>
      </c>
      <c r="L20" s="948">
        <f t="shared" si="31"/>
        <v>2606</v>
      </c>
      <c r="M20" s="948">
        <f t="shared" si="31"/>
        <v>2609</v>
      </c>
      <c r="N20" s="948">
        <f t="shared" si="31"/>
        <v>2612</v>
      </c>
      <c r="P20" s="948">
        <f t="shared" ref="P20:AA20" si="32">P7</f>
        <v>2403</v>
      </c>
      <c r="Q20" s="948">
        <f t="shared" si="32"/>
        <v>2406</v>
      </c>
      <c r="R20" s="948">
        <f t="shared" si="32"/>
        <v>2409</v>
      </c>
      <c r="S20" s="948">
        <f t="shared" si="32"/>
        <v>2412</v>
      </c>
      <c r="T20" s="948">
        <f t="shared" si="32"/>
        <v>2503</v>
      </c>
      <c r="U20" s="948">
        <f t="shared" si="32"/>
        <v>2506</v>
      </c>
      <c r="V20" s="948">
        <f t="shared" si="32"/>
        <v>2509</v>
      </c>
      <c r="W20" s="948">
        <f t="shared" si="32"/>
        <v>2512</v>
      </c>
      <c r="X20" s="948">
        <f t="shared" si="32"/>
        <v>2603</v>
      </c>
      <c r="Y20" s="948">
        <f t="shared" si="32"/>
        <v>2606</v>
      </c>
      <c r="Z20" s="948">
        <f t="shared" si="32"/>
        <v>2609</v>
      </c>
      <c r="AA20" s="948">
        <f t="shared" si="32"/>
        <v>2612</v>
      </c>
      <c r="AC20" s="777"/>
      <c r="AD20" s="948">
        <f>AD7</f>
        <v>2026</v>
      </c>
      <c r="AE20" s="948">
        <f t="shared" ref="AE20:AI20" si="33">AE7</f>
        <v>2025</v>
      </c>
      <c r="AF20" s="948">
        <f t="shared" si="33"/>
        <v>2026</v>
      </c>
      <c r="AG20" s="948">
        <f t="shared" si="33"/>
        <v>2025</v>
      </c>
      <c r="AH20" s="948">
        <f t="shared" si="33"/>
        <v>2026</v>
      </c>
      <c r="AI20" s="948">
        <f t="shared" si="33"/>
        <v>2025</v>
      </c>
      <c r="AK20" s="776"/>
      <c r="AL20" s="1754"/>
      <c r="AM20" s="948">
        <f t="shared" ref="AM20:AR20" si="34">AM7</f>
        <v>2026</v>
      </c>
      <c r="AN20" s="948">
        <f t="shared" si="34"/>
        <v>2025</v>
      </c>
      <c r="AO20" s="948">
        <f t="shared" si="34"/>
        <v>2026</v>
      </c>
      <c r="AP20" s="948">
        <f t="shared" si="34"/>
        <v>2025</v>
      </c>
      <c r="AQ20" s="948">
        <f t="shared" si="34"/>
        <v>2026</v>
      </c>
      <c r="AR20" s="948">
        <f t="shared" si="34"/>
        <v>2025</v>
      </c>
    </row>
    <row r="21" spans="2:44" ht="11.45" customHeight="1" x14ac:dyDescent="0.25">
      <c r="B21" s="778" t="s">
        <v>542</v>
      </c>
      <c r="C21" s="1448"/>
      <c r="D21" s="1448"/>
      <c r="E21" s="1448"/>
      <c r="F21" s="1448"/>
      <c r="G21" s="1448">
        <f>[2]rapkvart!O450</f>
        <v>-14.4</v>
      </c>
      <c r="H21" s="1448">
        <f>[2]rapkvart!P450</f>
        <v>-48</v>
      </c>
      <c r="I21" s="1448">
        <f>[2]rapkvart!Q450</f>
        <v>-65.8</v>
      </c>
      <c r="J21" s="1448">
        <f>[2]rapkvart!R450</f>
        <v>-72</v>
      </c>
      <c r="K21" s="1448">
        <f>[2]rapkvart!K450</f>
        <v>31.2</v>
      </c>
      <c r="L21" s="1448">
        <f>[2]rapkvart!L450</f>
        <v>33.700000000000003</v>
      </c>
      <c r="M21" s="1448"/>
      <c r="N21" s="1448"/>
      <c r="P21" s="1448">
        <f>C21</f>
        <v>0</v>
      </c>
      <c r="Q21" s="1468">
        <f>D21-C21</f>
        <v>0</v>
      </c>
      <c r="R21" s="1468">
        <f t="shared" ref="R21:R24" si="35">E21-D21</f>
        <v>0</v>
      </c>
      <c r="S21" s="1468">
        <f t="shared" ref="S21:S24" si="36">F21-E21</f>
        <v>0</v>
      </c>
      <c r="T21" s="1448">
        <f>G21</f>
        <v>-14.4</v>
      </c>
      <c r="U21" s="1468">
        <f>H21-G21</f>
        <v>-33.6</v>
      </c>
      <c r="V21" s="1468">
        <f t="shared" ref="V21" si="37">I21-H21</f>
        <v>-17.799999999999997</v>
      </c>
      <c r="W21" s="1468">
        <f t="shared" ref="W21" si="38">J21-I21</f>
        <v>-6.2000000000000028</v>
      </c>
      <c r="X21" s="1448">
        <f>K21</f>
        <v>31.2</v>
      </c>
      <c r="Y21" s="1468">
        <f>L21-K21</f>
        <v>2.5000000000000036</v>
      </c>
      <c r="Z21" s="1468">
        <f t="shared" ref="Z21" si="39">M21-L21</f>
        <v>-33.700000000000003</v>
      </c>
      <c r="AA21" s="1468">
        <f t="shared" ref="AA21" si="40">N21-M21</f>
        <v>0</v>
      </c>
      <c r="AC21" s="778" t="s">
        <v>542</v>
      </c>
      <c r="AD21" s="957">
        <f>Y21</f>
        <v>2.5000000000000036</v>
      </c>
      <c r="AE21" s="958">
        <f>U21</f>
        <v>-33.6</v>
      </c>
      <c r="AF21" s="957">
        <f>SUM(X21:Y21)</f>
        <v>33.700000000000003</v>
      </c>
      <c r="AG21" s="958">
        <f>SUM(T21:U21)</f>
        <v>-48</v>
      </c>
      <c r="AH21" s="957">
        <f>SUM(V21:Y21)</f>
        <v>9.7000000000000028</v>
      </c>
      <c r="AI21" s="958">
        <f>SUM(T21:W21)</f>
        <v>-72</v>
      </c>
      <c r="AK21" s="776"/>
      <c r="AL21" s="1755" t="s">
        <v>571</v>
      </c>
      <c r="AM21" s="957">
        <f>AD21</f>
        <v>2.5000000000000036</v>
      </c>
      <c r="AN21" s="958">
        <f t="shared" ref="AN21:AR21" si="41">AE21</f>
        <v>-33.6</v>
      </c>
      <c r="AO21" s="957">
        <f t="shared" si="41"/>
        <v>33.700000000000003</v>
      </c>
      <c r="AP21" s="958">
        <f t="shared" si="41"/>
        <v>-48</v>
      </c>
      <c r="AQ21" s="957">
        <f t="shared" si="41"/>
        <v>9.7000000000000028</v>
      </c>
      <c r="AR21" s="958">
        <f t="shared" si="41"/>
        <v>-72</v>
      </c>
    </row>
    <row r="22" spans="2:44" ht="11.45" customHeight="1" x14ac:dyDescent="0.25">
      <c r="B22" s="778" t="s">
        <v>543</v>
      </c>
      <c r="C22" s="1448"/>
      <c r="D22" s="1448"/>
      <c r="E22" s="1448"/>
      <c r="F22" s="1448"/>
      <c r="G22" s="1448">
        <f>[2]rapkvart!O451</f>
        <v>0</v>
      </c>
      <c r="H22" s="1448">
        <f>[2]rapkvart!P451</f>
        <v>-1.1000000000000001</v>
      </c>
      <c r="I22" s="1448">
        <f>[2]rapkvart!Q451</f>
        <v>-1.3</v>
      </c>
      <c r="J22" s="1448">
        <f>[2]rapkvart!R451</f>
        <v>-0.5</v>
      </c>
      <c r="K22" s="1448">
        <f>[2]rapkvart!K451</f>
        <v>0</v>
      </c>
      <c r="L22" s="1448">
        <f>[2]rapkvart!L451</f>
        <v>0</v>
      </c>
      <c r="M22" s="1448"/>
      <c r="N22" s="1448"/>
      <c r="P22" s="1448">
        <f t="shared" ref="P22:P24" si="42">C22</f>
        <v>0</v>
      </c>
      <c r="Q22" s="1468">
        <f t="shared" ref="Q22:Q24" si="43">D22-C22</f>
        <v>0</v>
      </c>
      <c r="R22" s="1468">
        <f t="shared" si="35"/>
        <v>0</v>
      </c>
      <c r="S22" s="1468">
        <f t="shared" si="36"/>
        <v>0</v>
      </c>
      <c r="T22" s="1448">
        <f t="shared" ref="T22:T24" si="44">G22</f>
        <v>0</v>
      </c>
      <c r="U22" s="1468">
        <f t="shared" ref="U22:U24" si="45">H22-G22</f>
        <v>-1.1000000000000001</v>
      </c>
      <c r="V22" s="1468">
        <f t="shared" ref="V22:V24" si="46">I22-H22</f>
        <v>-0.19999999999999996</v>
      </c>
      <c r="W22" s="1468">
        <f t="shared" ref="W22:W24" si="47">J22-I22</f>
        <v>0.8</v>
      </c>
      <c r="X22" s="1448">
        <f t="shared" ref="X22:X24" si="48">K22</f>
        <v>0</v>
      </c>
      <c r="Y22" s="1468">
        <f t="shared" ref="Y22:Y24" si="49">L22-K22</f>
        <v>0</v>
      </c>
      <c r="Z22" s="1468">
        <f t="shared" ref="Z22:Z24" si="50">M22-L22</f>
        <v>0</v>
      </c>
      <c r="AA22" s="1468">
        <f t="shared" ref="AA22:AA24" si="51">N22-M22</f>
        <v>0</v>
      </c>
      <c r="AC22" s="259" t="s">
        <v>543</v>
      </c>
      <c r="AD22" s="1750">
        <f t="shared" ref="AD22:AD24" si="52">Y22</f>
        <v>0</v>
      </c>
      <c r="AE22" s="1738">
        <f t="shared" ref="AE22:AE24" si="53">U22</f>
        <v>-1.1000000000000001</v>
      </c>
      <c r="AF22" s="1750">
        <f t="shared" ref="AF22:AF24" si="54">SUM(X22:Y22)</f>
        <v>0</v>
      </c>
      <c r="AG22" s="1738">
        <f t="shared" ref="AG22:AG24" si="55">SUM(T22:U22)</f>
        <v>-1.1000000000000001</v>
      </c>
      <c r="AH22" s="1750">
        <f t="shared" ref="AH22:AH24" si="56">SUM(V22:Y22)</f>
        <v>0.60000000000000009</v>
      </c>
      <c r="AI22" s="1738">
        <f t="shared" ref="AI22:AI24" si="57">SUM(T22:W22)</f>
        <v>-0.5</v>
      </c>
      <c r="AK22" s="776"/>
      <c r="AL22" s="1755" t="s">
        <v>572</v>
      </c>
      <c r="AM22" s="957">
        <f t="shared" ref="AM22:AM24" si="58">AD22</f>
        <v>0</v>
      </c>
      <c r="AN22" s="958">
        <f t="shared" ref="AN22:AN24" si="59">AE22</f>
        <v>-1.1000000000000001</v>
      </c>
      <c r="AO22" s="957">
        <f t="shared" ref="AO22:AO24" si="60">AF22</f>
        <v>0</v>
      </c>
      <c r="AP22" s="958">
        <f t="shared" ref="AP22:AP24" si="61">AG22</f>
        <v>-1.1000000000000001</v>
      </c>
      <c r="AQ22" s="957">
        <f t="shared" ref="AQ22:AQ24" si="62">AH22</f>
        <v>0.60000000000000009</v>
      </c>
      <c r="AR22" s="958">
        <f t="shared" ref="AR22:AR24" si="63">AI22</f>
        <v>-0.5</v>
      </c>
    </row>
    <row r="23" spans="2:44" ht="11.45" customHeight="1" x14ac:dyDescent="0.25">
      <c r="B23" s="779" t="s">
        <v>544</v>
      </c>
      <c r="C23" s="1449"/>
      <c r="D23" s="1449"/>
      <c r="E23" s="1449"/>
      <c r="F23" s="1449"/>
      <c r="G23" s="1449">
        <f>[2]rapkvart!O452</f>
        <v>0</v>
      </c>
      <c r="H23" s="1449">
        <f>[2]rapkvart!P452</f>
        <v>0</v>
      </c>
      <c r="I23" s="1449">
        <f>[2]rapkvart!Q452</f>
        <v>0</v>
      </c>
      <c r="J23" s="1449">
        <f>[2]rapkvart!R452</f>
        <v>0</v>
      </c>
      <c r="K23" s="1449">
        <f>[2]rapkvart!K452</f>
        <v>0</v>
      </c>
      <c r="L23" s="1449">
        <f>[2]rapkvart!L452</f>
        <v>0</v>
      </c>
      <c r="M23" s="1449"/>
      <c r="N23" s="1449"/>
      <c r="P23" s="1449">
        <f t="shared" si="42"/>
        <v>0</v>
      </c>
      <c r="Q23" s="1469">
        <f t="shared" si="43"/>
        <v>0</v>
      </c>
      <c r="R23" s="1469">
        <f t="shared" si="35"/>
        <v>0</v>
      </c>
      <c r="S23" s="1469">
        <f t="shared" si="36"/>
        <v>0</v>
      </c>
      <c r="T23" s="1449">
        <f t="shared" si="44"/>
        <v>0</v>
      </c>
      <c r="U23" s="1469">
        <f t="shared" si="45"/>
        <v>0</v>
      </c>
      <c r="V23" s="1469">
        <f t="shared" si="46"/>
        <v>0</v>
      </c>
      <c r="W23" s="1469">
        <f t="shared" si="47"/>
        <v>0</v>
      </c>
      <c r="X23" s="1449">
        <f t="shared" si="48"/>
        <v>0</v>
      </c>
      <c r="Y23" s="1469">
        <f t="shared" si="49"/>
        <v>0</v>
      </c>
      <c r="Z23" s="1469">
        <f t="shared" si="50"/>
        <v>0</v>
      </c>
      <c r="AA23" s="1469">
        <f t="shared" si="51"/>
        <v>0</v>
      </c>
      <c r="AC23" s="779" t="s">
        <v>544</v>
      </c>
      <c r="AD23" s="1206">
        <f t="shared" si="52"/>
        <v>0</v>
      </c>
      <c r="AE23" s="959">
        <f t="shared" si="53"/>
        <v>0</v>
      </c>
      <c r="AF23" s="1206">
        <f t="shared" si="54"/>
        <v>0</v>
      </c>
      <c r="AG23" s="959">
        <f t="shared" si="55"/>
        <v>0</v>
      </c>
      <c r="AH23" s="1206">
        <f t="shared" si="56"/>
        <v>0</v>
      </c>
      <c r="AI23" s="959">
        <f t="shared" si="57"/>
        <v>0</v>
      </c>
      <c r="AK23" s="776"/>
      <c r="AL23" s="1756" t="s">
        <v>573</v>
      </c>
      <c r="AM23" s="1757">
        <f t="shared" si="58"/>
        <v>0</v>
      </c>
      <c r="AN23" s="959">
        <f t="shared" si="59"/>
        <v>0</v>
      </c>
      <c r="AO23" s="1757">
        <f t="shared" si="60"/>
        <v>0</v>
      </c>
      <c r="AP23" s="959">
        <f t="shared" si="61"/>
        <v>0</v>
      </c>
      <c r="AQ23" s="1757">
        <f t="shared" si="62"/>
        <v>0</v>
      </c>
      <c r="AR23" s="959">
        <f t="shared" si="63"/>
        <v>0</v>
      </c>
    </row>
    <row r="24" spans="2:44" ht="11.45" customHeight="1" x14ac:dyDescent="0.25">
      <c r="B24" s="257" t="s">
        <v>545</v>
      </c>
      <c r="C24" s="1450"/>
      <c r="D24" s="1450"/>
      <c r="E24" s="1450"/>
      <c r="F24" s="1450"/>
      <c r="G24" s="1450">
        <f>[2]rapkvart!O453</f>
        <v>-14.4</v>
      </c>
      <c r="H24" s="1450">
        <f>[2]rapkvart!P453</f>
        <v>-49.1</v>
      </c>
      <c r="I24" s="1450">
        <f>[2]rapkvart!Q453</f>
        <v>-67.099999999999994</v>
      </c>
      <c r="J24" s="1450">
        <f>[2]rapkvart!R453</f>
        <v>-72.5</v>
      </c>
      <c r="K24" s="1450">
        <f>[2]rapkvart!K453</f>
        <v>31.2</v>
      </c>
      <c r="L24" s="1450">
        <f>[2]rapkvart!L453</f>
        <v>33.700000000000003</v>
      </c>
      <c r="M24" s="1450"/>
      <c r="N24" s="1450"/>
      <c r="P24" s="1450">
        <f t="shared" si="42"/>
        <v>0</v>
      </c>
      <c r="Q24" s="1470">
        <f t="shared" si="43"/>
        <v>0</v>
      </c>
      <c r="R24" s="1470">
        <f t="shared" si="35"/>
        <v>0</v>
      </c>
      <c r="S24" s="1470">
        <f t="shared" si="36"/>
        <v>0</v>
      </c>
      <c r="T24" s="1450">
        <f t="shared" si="44"/>
        <v>-14.4</v>
      </c>
      <c r="U24" s="1470">
        <f t="shared" si="45"/>
        <v>-34.700000000000003</v>
      </c>
      <c r="V24" s="1470">
        <f t="shared" si="46"/>
        <v>-17.999999999999993</v>
      </c>
      <c r="W24" s="1470">
        <f t="shared" si="47"/>
        <v>-5.4000000000000057</v>
      </c>
      <c r="X24" s="1450">
        <f t="shared" si="48"/>
        <v>31.2</v>
      </c>
      <c r="Y24" s="1470">
        <f t="shared" si="49"/>
        <v>2.5000000000000036</v>
      </c>
      <c r="Z24" s="1470">
        <f t="shared" si="50"/>
        <v>-33.700000000000003</v>
      </c>
      <c r="AA24" s="1470">
        <f t="shared" si="51"/>
        <v>0</v>
      </c>
      <c r="AC24" s="1205" t="s">
        <v>545</v>
      </c>
      <c r="AD24" s="1207">
        <f t="shared" si="52"/>
        <v>2.5000000000000036</v>
      </c>
      <c r="AE24" s="1208">
        <f t="shared" si="53"/>
        <v>-34.700000000000003</v>
      </c>
      <c r="AF24" s="1207">
        <f t="shared" si="54"/>
        <v>33.700000000000003</v>
      </c>
      <c r="AG24" s="1208">
        <f t="shared" si="55"/>
        <v>-49.1</v>
      </c>
      <c r="AH24" s="1207">
        <f t="shared" si="56"/>
        <v>10.300000000000004</v>
      </c>
      <c r="AI24" s="1208">
        <f t="shared" si="57"/>
        <v>-72.5</v>
      </c>
      <c r="AK24" s="776"/>
      <c r="AL24" s="1758" t="s">
        <v>574</v>
      </c>
      <c r="AM24" s="1207">
        <f t="shared" si="58"/>
        <v>2.5000000000000036</v>
      </c>
      <c r="AN24" s="1208">
        <f t="shared" si="59"/>
        <v>-34.700000000000003</v>
      </c>
      <c r="AO24" s="1207">
        <f t="shared" si="60"/>
        <v>33.700000000000003</v>
      </c>
      <c r="AP24" s="1208">
        <f t="shared" si="61"/>
        <v>-49.1</v>
      </c>
      <c r="AQ24" s="1207">
        <f t="shared" si="62"/>
        <v>10.300000000000004</v>
      </c>
      <c r="AR24" s="1208">
        <f t="shared" si="63"/>
        <v>-72.5</v>
      </c>
    </row>
    <row r="26" spans="2:44" x14ac:dyDescent="0.25">
      <c r="AC26" s="1952" t="s">
        <v>181</v>
      </c>
      <c r="AD26" s="1952">
        <f>SUM(AD8:AD11,AD13:AD14,AD16)-AD17</f>
        <v>0</v>
      </c>
      <c r="AE26" s="1952">
        <f t="shared" ref="AE26:AI26" si="64">SUM(AE8:AE11,AE13:AE14,AE16)-AE17</f>
        <v>0</v>
      </c>
      <c r="AF26" s="1952">
        <f t="shared" si="64"/>
        <v>0</v>
      </c>
      <c r="AG26" s="1952">
        <f t="shared" si="64"/>
        <v>0</v>
      </c>
      <c r="AH26" s="1952">
        <f t="shared" si="64"/>
        <v>0</v>
      </c>
      <c r="AI26" s="1952">
        <f t="shared" si="64"/>
        <v>0</v>
      </c>
      <c r="AL26" s="1952" t="s">
        <v>181</v>
      </c>
      <c r="AM26" s="1952">
        <f>SUM(AM8:AM11,AM13:AM14,AM16)-AM17</f>
        <v>0</v>
      </c>
      <c r="AN26" s="1952">
        <f t="shared" ref="AN26:AR26" si="65">SUM(AN8:AN11,AN13:AN14,AN16)-AN17</f>
        <v>0</v>
      </c>
      <c r="AO26" s="1952">
        <f t="shared" si="65"/>
        <v>0</v>
      </c>
      <c r="AP26" s="1952">
        <f t="shared" si="65"/>
        <v>0</v>
      </c>
      <c r="AQ26" s="1952">
        <f t="shared" si="65"/>
        <v>0</v>
      </c>
      <c r="AR26" s="1952">
        <f t="shared" si="65"/>
        <v>0</v>
      </c>
    </row>
    <row r="27" spans="2:44" x14ac:dyDescent="0.25">
      <c r="AC27" s="1952" t="s">
        <v>181</v>
      </c>
      <c r="AD27" s="1952">
        <f>SUM(AD21:AD23)-AD24</f>
        <v>0</v>
      </c>
      <c r="AE27" s="1952">
        <f t="shared" ref="AE27:AI27" si="66">SUM(AE21:AE23)-AE24</f>
        <v>0</v>
      </c>
      <c r="AF27" s="1952">
        <f t="shared" si="66"/>
        <v>0</v>
      </c>
      <c r="AG27" s="1952">
        <f t="shared" si="66"/>
        <v>0</v>
      </c>
      <c r="AH27" s="1952">
        <f t="shared" si="66"/>
        <v>0</v>
      </c>
      <c r="AI27" s="1952">
        <f t="shared" si="66"/>
        <v>0</v>
      </c>
      <c r="AL27" s="1952" t="s">
        <v>181</v>
      </c>
      <c r="AM27" s="1952">
        <f t="shared" ref="AM27:AR27" si="67">SUM(AM21:AM23)-AM24</f>
        <v>0</v>
      </c>
      <c r="AN27" s="1952">
        <f t="shared" si="67"/>
        <v>0</v>
      </c>
      <c r="AO27" s="1952">
        <f t="shared" si="67"/>
        <v>0</v>
      </c>
      <c r="AP27" s="1952">
        <f t="shared" si="67"/>
        <v>0</v>
      </c>
      <c r="AQ27" s="1952">
        <f t="shared" si="67"/>
        <v>0</v>
      </c>
      <c r="AR27" s="1952">
        <f t="shared" si="67"/>
        <v>0</v>
      </c>
    </row>
  </sheetData>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CA441-AEDC-46AA-A26D-2F126D369122}">
  <dimension ref="F1:P20"/>
  <sheetViews>
    <sheetView workbookViewId="0"/>
    <sheetView workbookViewId="1"/>
  </sheetViews>
  <sheetFormatPr defaultRowHeight="15" x14ac:dyDescent="0.25"/>
  <cols>
    <col min="9" max="9" width="5.5703125" style="1353" bestFit="1" customWidth="1"/>
    <col min="10" max="10" width="6.28515625" style="1353" bestFit="1" customWidth="1"/>
    <col min="11" max="11" width="6" style="1353" customWidth="1"/>
  </cols>
  <sheetData>
    <row r="1" spans="6:16" x14ac:dyDescent="0.25">
      <c r="F1" s="1354"/>
      <c r="G1" s="1354"/>
      <c r="H1" s="1354"/>
      <c r="I1" s="1355" t="s">
        <v>680</v>
      </c>
      <c r="J1" s="1355" t="s">
        <v>680</v>
      </c>
      <c r="K1" s="1355" t="s">
        <v>680</v>
      </c>
    </row>
    <row r="2" spans="6:16" x14ac:dyDescent="0.25">
      <c r="F2" s="1354"/>
      <c r="G2" s="1354"/>
      <c r="H2" s="1354"/>
      <c r="I2" s="1355" t="s">
        <v>26</v>
      </c>
      <c r="J2" s="1355" t="s">
        <v>155</v>
      </c>
      <c r="K2" s="1355"/>
    </row>
    <row r="3" spans="6:16" x14ac:dyDescent="0.25">
      <c r="F3" s="872" t="s">
        <v>499</v>
      </c>
      <c r="G3" s="872" t="s">
        <v>505</v>
      </c>
      <c r="H3" s="872"/>
      <c r="I3" s="211">
        <f>I10</f>
        <v>10</v>
      </c>
      <c r="J3" s="211">
        <v>21</v>
      </c>
      <c r="K3" s="1064">
        <f>J3-I3</f>
        <v>11</v>
      </c>
    </row>
    <row r="4" spans="6:16" x14ac:dyDescent="0.25">
      <c r="F4" s="872" t="s">
        <v>169</v>
      </c>
      <c r="G4" s="872" t="s">
        <v>505</v>
      </c>
      <c r="H4" s="872"/>
      <c r="I4" s="211">
        <f>I12</f>
        <v>144.64182600000001</v>
      </c>
      <c r="J4" s="211">
        <v>512.64182600000004</v>
      </c>
      <c r="K4" s="1064">
        <f t="shared" ref="K4:K7" si="0">J4-I4</f>
        <v>368</v>
      </c>
    </row>
    <row r="5" spans="6:16" x14ac:dyDescent="0.25">
      <c r="F5" s="872" t="s">
        <v>170</v>
      </c>
      <c r="G5" s="872" t="s">
        <v>505</v>
      </c>
      <c r="H5" s="872"/>
      <c r="I5" s="1356">
        <f>I13-I6</f>
        <v>385.89938700000005</v>
      </c>
      <c r="J5" s="211">
        <v>960.77441999999996</v>
      </c>
      <c r="K5" s="1064">
        <f t="shared" si="0"/>
        <v>574.87503299999992</v>
      </c>
    </row>
    <row r="6" spans="6:16" x14ac:dyDescent="0.25">
      <c r="F6" s="873" t="s">
        <v>500</v>
      </c>
      <c r="G6" s="873" t="s">
        <v>505</v>
      </c>
      <c r="H6" s="873"/>
      <c r="I6" s="1343">
        <v>45</v>
      </c>
      <c r="J6" s="224">
        <v>45.124966999999998</v>
      </c>
      <c r="K6" s="224">
        <f t="shared" si="0"/>
        <v>0.12496699999999805</v>
      </c>
      <c r="L6" t="s">
        <v>681</v>
      </c>
    </row>
    <row r="7" spans="6:16" x14ac:dyDescent="0.25">
      <c r="F7" s="416" t="s">
        <v>360</v>
      </c>
      <c r="G7" s="416" t="s">
        <v>505</v>
      </c>
      <c r="H7" s="416"/>
      <c r="I7" s="1069">
        <f>SUM(I10:I11)</f>
        <v>585.5</v>
      </c>
      <c r="J7" s="1069">
        <v>1539.541213</v>
      </c>
      <c r="K7" s="1064">
        <f t="shared" si="0"/>
        <v>954.04121299999997</v>
      </c>
    </row>
    <row r="10" spans="6:16" x14ac:dyDescent="0.25">
      <c r="F10" s="1034" t="s">
        <v>606</v>
      </c>
      <c r="G10" s="1034"/>
      <c r="H10" s="1034"/>
      <c r="I10" s="963">
        <v>10</v>
      </c>
    </row>
    <row r="11" spans="6:16" x14ac:dyDescent="0.25">
      <c r="F11" s="1035" t="s">
        <v>494</v>
      </c>
      <c r="G11" s="1035"/>
      <c r="H11" s="1035"/>
      <c r="I11" s="1099">
        <v>575.5</v>
      </c>
    </row>
    <row r="12" spans="6:16" x14ac:dyDescent="0.25">
      <c r="F12" s="808" t="s">
        <v>458</v>
      </c>
      <c r="G12" s="808"/>
      <c r="H12" s="808"/>
      <c r="I12" s="212">
        <v>144.64182600000001</v>
      </c>
    </row>
    <row r="13" spans="6:16" x14ac:dyDescent="0.25">
      <c r="F13" s="808" t="s">
        <v>460</v>
      </c>
      <c r="G13" s="808"/>
      <c r="H13" s="808"/>
      <c r="I13" s="212">
        <v>430.89938700000005</v>
      </c>
    </row>
    <row r="16" spans="6:16" x14ac:dyDescent="0.25">
      <c r="M16" s="872" t="s">
        <v>499</v>
      </c>
      <c r="N16" s="872" t="s">
        <v>505</v>
      </c>
      <c r="O16" s="872"/>
      <c r="P16" s="211">
        <v>21</v>
      </c>
    </row>
    <row r="17" spans="13:16" x14ac:dyDescent="0.25">
      <c r="M17" s="872" t="s">
        <v>169</v>
      </c>
      <c r="N17" s="872" t="s">
        <v>505</v>
      </c>
      <c r="O17" s="872"/>
      <c r="P17" s="211">
        <v>512.64182600000004</v>
      </c>
    </row>
    <row r="18" spans="13:16" x14ac:dyDescent="0.25">
      <c r="M18" s="872" t="s">
        <v>170</v>
      </c>
      <c r="N18" s="872" t="s">
        <v>505</v>
      </c>
      <c r="O18" s="872"/>
      <c r="P18" s="211">
        <v>960.77441999999996</v>
      </c>
    </row>
    <row r="19" spans="13:16" x14ac:dyDescent="0.25">
      <c r="M19" s="873" t="s">
        <v>500</v>
      </c>
      <c r="N19" s="873" t="s">
        <v>505</v>
      </c>
      <c r="O19" s="873"/>
      <c r="P19" s="224">
        <v>45.124966999999998</v>
      </c>
    </row>
    <row r="20" spans="13:16" x14ac:dyDescent="0.25">
      <c r="M20" s="416" t="s">
        <v>360</v>
      </c>
      <c r="N20" s="416" t="s">
        <v>505</v>
      </c>
      <c r="O20" s="416"/>
      <c r="P20" s="1069">
        <v>1539.541213</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sheetPr>
  <dimension ref="A1:XFB145"/>
  <sheetViews>
    <sheetView workbookViewId="0"/>
    <sheetView workbookViewId="1"/>
  </sheetViews>
  <sheetFormatPr defaultColWidth="9.140625" defaultRowHeight="11.25" outlineLevelCol="1" x14ac:dyDescent="0.2"/>
  <cols>
    <col min="1" max="1" width="39.7109375" style="242" customWidth="1"/>
    <col min="2" max="2" width="13.28515625" style="243" customWidth="1"/>
    <col min="3" max="3" width="8.140625" style="242" customWidth="1"/>
    <col min="4" max="4" width="8.140625" style="242" customWidth="1" outlineLevel="1"/>
    <col min="5" max="5" width="7.7109375" style="242" customWidth="1" outlineLevel="1"/>
    <col min="6" max="6" width="1" style="242" customWidth="1"/>
    <col min="7" max="8" width="8.140625" style="242" customWidth="1" outlineLevel="1"/>
    <col min="9" max="9" width="2.85546875" style="242" customWidth="1"/>
    <col min="10" max="11" width="9.140625" style="242" customWidth="1" outlineLevel="1"/>
    <col min="12" max="12" width="14.140625" style="242" customWidth="1" outlineLevel="1"/>
    <col min="13" max="13" width="44.7109375" style="242" customWidth="1" outlineLevel="1"/>
    <col min="14" max="14" width="5.5703125" style="242" customWidth="1" outlineLevel="1"/>
    <col min="15" max="16" width="9.140625" style="242" customWidth="1" outlineLevel="1"/>
    <col min="17" max="17" width="11.5703125" style="242" customWidth="1" outlineLevel="1"/>
    <col min="18" max="19" width="9.140625" style="242" customWidth="1" outlineLevel="1"/>
    <col min="20" max="20" width="2.85546875" style="242" customWidth="1"/>
    <col min="21" max="22" width="1.5703125" style="242" customWidth="1"/>
    <col min="23" max="23" width="8.85546875" style="242" bestFit="1" customWidth="1"/>
    <col min="24" max="24" width="4.5703125" style="242" bestFit="1" customWidth="1"/>
    <col min="25" max="16384" width="9.140625" style="242"/>
  </cols>
  <sheetData>
    <row r="1" spans="1:18" x14ac:dyDescent="0.2">
      <c r="A1" s="257" t="s">
        <v>55</v>
      </c>
      <c r="B1" s="258"/>
      <c r="C1" s="259"/>
      <c r="D1" s="259"/>
      <c r="E1" s="259"/>
      <c r="F1" s="259"/>
      <c r="G1" s="259"/>
      <c r="H1" s="259"/>
      <c r="J1" s="242">
        <v>285</v>
      </c>
      <c r="M1" s="262" t="s">
        <v>196</v>
      </c>
      <c r="N1" s="258"/>
      <c r="O1" s="259"/>
      <c r="P1" s="259"/>
      <c r="Q1" s="259"/>
      <c r="R1" s="259"/>
    </row>
    <row r="2" spans="1:18" ht="11.25" customHeight="1" x14ac:dyDescent="0.2">
      <c r="A2" s="265"/>
      <c r="B2" s="266"/>
      <c r="C2" s="261" t="str">
        <f>[2]rapkvart!D$4</f>
        <v>Kvartal 2</v>
      </c>
      <c r="D2" s="261" t="str">
        <f>[2]rapkvart!E$4</f>
        <v>Kvartal 2</v>
      </c>
      <c r="E2" s="261" t="str">
        <f>[2]rapkvart!F$4</f>
        <v>Kvartal 1-2</v>
      </c>
      <c r="F2" s="261" t="str">
        <f>[2]rapkvart!G$4</f>
        <v>Kvartal 1-2</v>
      </c>
      <c r="G2" s="261" t="str">
        <f>[2]rapkvart!H$4</f>
        <v>12 mån</v>
      </c>
      <c r="H2" s="261"/>
      <c r="J2" s="242">
        <v>23</v>
      </c>
      <c r="M2" s="265"/>
      <c r="N2" s="266"/>
      <c r="O2" s="261" t="s">
        <v>524</v>
      </c>
      <c r="P2" s="261" t="s">
        <v>524</v>
      </c>
      <c r="Q2" s="261" t="s">
        <v>525</v>
      </c>
      <c r="R2" s="261" t="s">
        <v>525</v>
      </c>
    </row>
    <row r="3" spans="1:18" ht="9.75" customHeight="1" x14ac:dyDescent="0.2">
      <c r="A3" s="273" t="str">
        <f>+[2]rapkvart!$B5</f>
        <v>Mkr</v>
      </c>
      <c r="B3" s="274" t="str">
        <f>[2]rapkvart!C$5</f>
        <v>Not</v>
      </c>
      <c r="C3" s="275">
        <f>[2]rapkvart!D$5</f>
        <v>2026</v>
      </c>
      <c r="D3" s="275">
        <f>[2]rapkvart!E$5</f>
        <v>2025</v>
      </c>
      <c r="E3" s="275">
        <f>[2]rapkvart!F$5</f>
        <v>2026</v>
      </c>
      <c r="F3" s="275">
        <f>[2]rapkvart!G$5</f>
        <v>2025</v>
      </c>
      <c r="G3" s="275" t="str">
        <f>[2]rapkvart!H$5</f>
        <v>rullande</v>
      </c>
      <c r="H3" s="275">
        <f>[2]rapkvart!I$5</f>
        <v>2025</v>
      </c>
      <c r="J3" s="242">
        <v>57</v>
      </c>
      <c r="M3" s="273" t="str">
        <f>+[2]rapkvart!$A5</f>
        <v>MSEK</v>
      </c>
      <c r="N3" s="274" t="s">
        <v>219</v>
      </c>
      <c r="O3" s="275">
        <v>2025</v>
      </c>
      <c r="P3" s="275">
        <v>2024</v>
      </c>
      <c r="Q3" s="275">
        <v>2025</v>
      </c>
      <c r="R3" s="275">
        <v>2024</v>
      </c>
    </row>
    <row r="4" spans="1:18" ht="9" customHeight="1" x14ac:dyDescent="0.2">
      <c r="A4" s="337" t="str">
        <f>+[2]rapkvart!$B6</f>
        <v>Intäkter</v>
      </c>
      <c r="B4" s="648"/>
      <c r="C4" s="339">
        <f>[2]rapkvart!D6</f>
        <v>684.69999999999993</v>
      </c>
      <c r="D4" s="337">
        <f>[2]rapkvart!E6</f>
        <v>671.99999999999989</v>
      </c>
      <c r="E4" s="339">
        <f>[2]rapkvart!F6</f>
        <v>1294.3</v>
      </c>
      <c r="F4" s="337">
        <f>[2]rapkvart!G6</f>
        <v>1311.6</v>
      </c>
      <c r="G4" s="337">
        <f>[2]rapkvart!H6</f>
        <v>2312.5</v>
      </c>
      <c r="H4" s="337">
        <f>[2]rapkvart!I6</f>
        <v>2329.8000000000002</v>
      </c>
      <c r="J4" s="242">
        <v>57</v>
      </c>
      <c r="M4" s="337" t="str">
        <f>+[2]rapkvart!$A6</f>
        <v>Net turnover</v>
      </c>
      <c r="N4" s="648"/>
      <c r="O4" s="339">
        <v>520.40000000000009</v>
      </c>
      <c r="P4" s="337">
        <v>579.50000000000023</v>
      </c>
      <c r="Q4" s="339">
        <v>2329.8000000000002</v>
      </c>
      <c r="R4" s="337">
        <v>2271.8000000000002</v>
      </c>
    </row>
    <row r="5" spans="1:18" ht="9" customHeight="1" x14ac:dyDescent="0.2">
      <c r="A5" s="649" t="str">
        <f>+[2]rapkvart!$B7</f>
        <v xml:space="preserve">Kostnad för sålda varor </v>
      </c>
      <c r="B5" s="648">
        <f>[2]rapkvart!$C7</f>
        <v>3</v>
      </c>
      <c r="C5" s="650">
        <f>[2]rapkvart!$D$7</f>
        <v>-552.39999999999986</v>
      </c>
      <c r="D5" s="649">
        <f>[2]rapkvart!$E$7</f>
        <v>-594.70000000000005</v>
      </c>
      <c r="E5" s="650">
        <f>[2]rapkvart!$F$7</f>
        <v>-1072.0999999999999</v>
      </c>
      <c r="F5" s="649">
        <f>[2]rapkvart!$G$7</f>
        <v>-1142.5</v>
      </c>
      <c r="G5" s="649">
        <f>[2]rapkvart!$H$7</f>
        <v>-1971</v>
      </c>
      <c r="H5" s="649">
        <f>[2]rapkvart!$R$7</f>
        <v>-2041.4</v>
      </c>
      <c r="J5" s="242">
        <f>SUM(J1:J4)</f>
        <v>422</v>
      </c>
      <c r="M5" s="649" t="str">
        <f>+[2]rapkvart!$A7</f>
        <v xml:space="preserve">Cost of goods solds </v>
      </c>
      <c r="N5" s="648">
        <v>3</v>
      </c>
      <c r="O5" s="650">
        <v>-459</v>
      </c>
      <c r="P5" s="649">
        <v>-514.5</v>
      </c>
      <c r="Q5" s="650">
        <v>-2041.4</v>
      </c>
      <c r="R5" s="649">
        <v>-1976.7</v>
      </c>
    </row>
    <row r="6" spans="1:18" ht="9" customHeight="1" x14ac:dyDescent="0.2">
      <c r="A6" s="344" t="str">
        <f>+[2]rapkvart!$B8</f>
        <v>Bruttoresultat</v>
      </c>
      <c r="B6" s="345"/>
      <c r="C6" s="346">
        <f>[2]rapkvart!$D$8</f>
        <v>132.30000000000007</v>
      </c>
      <c r="D6" s="344">
        <f>[2]rapkvart!$E$8</f>
        <v>77.299999999999841</v>
      </c>
      <c r="E6" s="346">
        <f>[2]rapkvart!$F$8</f>
        <v>222.20000000000005</v>
      </c>
      <c r="F6" s="344">
        <f>[2]rapkvart!$G$8</f>
        <v>169.09999999999991</v>
      </c>
      <c r="G6" s="344">
        <f>[2]rapkvart!$H$8</f>
        <v>341.5</v>
      </c>
      <c r="H6" s="344">
        <f>[2]rapkvart!$R$8</f>
        <v>288.40000000000009</v>
      </c>
      <c r="M6" s="344" t="str">
        <f>+[2]rapkvart!$A8</f>
        <v>Gross Margin</v>
      </c>
      <c r="N6" s="345"/>
      <c r="O6" s="346">
        <v>61.400000000000091</v>
      </c>
      <c r="P6" s="344">
        <v>65.000000000000227</v>
      </c>
      <c r="Q6" s="346">
        <v>288.40000000000009</v>
      </c>
      <c r="R6" s="344">
        <v>295.10000000000014</v>
      </c>
    </row>
    <row r="7" spans="1:18" ht="3" customHeight="1" x14ac:dyDescent="0.2">
      <c r="A7" s="352"/>
      <c r="B7" s="360"/>
      <c r="C7" s="361"/>
      <c r="D7" s="352"/>
      <c r="E7" s="361"/>
      <c r="F7" s="352"/>
      <c r="G7" s="352"/>
      <c r="H7" s="352"/>
      <c r="M7" s="352"/>
      <c r="N7" s="360"/>
      <c r="O7" s="361"/>
      <c r="P7" s="352"/>
      <c r="Q7" s="361"/>
      <c r="R7" s="352"/>
    </row>
    <row r="8" spans="1:18" ht="9" customHeight="1" x14ac:dyDescent="0.2">
      <c r="A8" s="337" t="str">
        <f>+[2]rapkvart!$B10</f>
        <v>Övriga rörelseintäkter</v>
      </c>
      <c r="B8" s="338"/>
      <c r="C8" s="339">
        <f>[2]rapkvart!$D$10</f>
        <v>0.1</v>
      </c>
      <c r="D8" s="337">
        <f>[2]rapkvart!$E$10</f>
        <v>0.2</v>
      </c>
      <c r="E8" s="339">
        <f>[2]rapkvart!$F$10</f>
        <v>0.1</v>
      </c>
      <c r="F8" s="337">
        <f>[2]rapkvart!$G$10</f>
        <v>0.4</v>
      </c>
      <c r="G8" s="337">
        <f>[2]rapkvart!$H$10</f>
        <v>0.8</v>
      </c>
      <c r="H8" s="337">
        <f>[2]rapkvart!$R$10</f>
        <v>1.1000000000000001</v>
      </c>
      <c r="M8" s="337" t="str">
        <f>+[2]rapkvart!$A10</f>
        <v xml:space="preserve">Other operating revenues </v>
      </c>
      <c r="N8" s="338"/>
      <c r="O8" s="339">
        <v>0.50000000000000011</v>
      </c>
      <c r="P8" s="337">
        <v>0.3</v>
      </c>
      <c r="Q8" s="339">
        <v>1.1000000000000001</v>
      </c>
      <c r="R8" s="337">
        <v>0.6</v>
      </c>
    </row>
    <row r="9" spans="1:18" ht="9" customHeight="1" x14ac:dyDescent="0.2">
      <c r="A9" s="337" t="str">
        <f>+[2]rapkvart!$B11</f>
        <v xml:space="preserve">Försäljningskostnader </v>
      </c>
      <c r="B9" s="338"/>
      <c r="C9" s="339">
        <f>[2]rapkvart!$D$11</f>
        <v>-21.9</v>
      </c>
      <c r="D9" s="337">
        <f>[2]rapkvart!$E$11</f>
        <v>-22.3</v>
      </c>
      <c r="E9" s="339">
        <f>[2]rapkvart!$F$11</f>
        <v>-44</v>
      </c>
      <c r="F9" s="337">
        <f>[2]rapkvart!$G$11</f>
        <v>-42.5</v>
      </c>
      <c r="G9" s="337">
        <f>[2]rapkvart!$H$11</f>
        <v>-88.8</v>
      </c>
      <c r="H9" s="649">
        <f>[2]rapkvart!$R$11</f>
        <v>-87.3</v>
      </c>
      <c r="M9" s="337" t="str">
        <f>+[2]rapkvart!$A11</f>
        <v>Selling expenses</v>
      </c>
      <c r="N9" s="338"/>
      <c r="O9" s="339">
        <v>-27.199999999999996</v>
      </c>
      <c r="P9" s="337">
        <v>-21.4</v>
      </c>
      <c r="Q9" s="339">
        <v>-87.3</v>
      </c>
      <c r="R9" s="337">
        <v>-78</v>
      </c>
    </row>
    <row r="10" spans="1:18" ht="9" customHeight="1" x14ac:dyDescent="0.2">
      <c r="A10" s="337" t="str">
        <f>+[2]rapkvart!$B12</f>
        <v xml:space="preserve">Administrationskostnader </v>
      </c>
      <c r="B10" s="338"/>
      <c r="C10" s="339">
        <f>[2]rapkvart!$D$12</f>
        <v>-18.100000000000001</v>
      </c>
      <c r="D10" s="337">
        <f>[2]rapkvart!$E$12</f>
        <v>-14.8</v>
      </c>
      <c r="E10" s="339">
        <f>[2]rapkvart!$F$12</f>
        <v>-35.5</v>
      </c>
      <c r="F10" s="337">
        <f>[2]rapkvart!$G$12</f>
        <v>-29</v>
      </c>
      <c r="G10" s="337">
        <f>[2]rapkvart!$H$12</f>
        <v>-60</v>
      </c>
      <c r="H10" s="649">
        <f>[2]rapkvart!$R$12</f>
        <v>-53.5</v>
      </c>
      <c r="M10" s="337" t="str">
        <f>+[2]rapkvart!$A12</f>
        <v>Administrative expenses</v>
      </c>
      <c r="N10" s="338"/>
      <c r="O10" s="339">
        <v>-13.100000000000001</v>
      </c>
      <c r="P10" s="337">
        <v>-15.299999999999997</v>
      </c>
      <c r="Q10" s="339">
        <v>-53.5</v>
      </c>
      <c r="R10" s="337">
        <v>-56</v>
      </c>
    </row>
    <row r="11" spans="1:18" ht="9" customHeight="1" x14ac:dyDescent="0.2">
      <c r="A11" s="337" t="str">
        <f>+[2]rapkvart!$B13</f>
        <v>Övriga rörelsekostnader</v>
      </c>
      <c r="B11" s="338"/>
      <c r="C11" s="339">
        <f>[2]rapkvart!$D$13</f>
        <v>0</v>
      </c>
      <c r="D11" s="337">
        <f>[2]rapkvart!$E$13</f>
        <v>0</v>
      </c>
      <c r="E11" s="339">
        <f>[2]rapkvart!$F$13</f>
        <v>0</v>
      </c>
      <c r="F11" s="337">
        <f>[2]rapkvart!$G$13</f>
        <v>-0.1</v>
      </c>
      <c r="G11" s="337">
        <f>[2]rapkvart!$H$13</f>
        <v>0</v>
      </c>
      <c r="H11" s="649">
        <f>[2]rapkvart!$R$13</f>
        <v>-0.1</v>
      </c>
      <c r="M11" s="337" t="str">
        <f>+[2]rapkvart!$A13</f>
        <v>Other operating expenses</v>
      </c>
      <c r="N11" s="338"/>
      <c r="O11" s="339">
        <v>0</v>
      </c>
      <c r="P11" s="337">
        <v>0</v>
      </c>
      <c r="Q11" s="339">
        <v>-0.1</v>
      </c>
      <c r="R11" s="337">
        <v>-0.9</v>
      </c>
    </row>
    <row r="12" spans="1:18" ht="9" customHeight="1" x14ac:dyDescent="0.2">
      <c r="A12" s="344" t="str">
        <f>+[2]rapkvart!$B14</f>
        <v>Rörelseresultat</v>
      </c>
      <c r="B12" s="345"/>
      <c r="C12" s="346">
        <f>[2]rapkvart!$D$14</f>
        <v>92.400000000000063</v>
      </c>
      <c r="D12" s="344">
        <f>[2]rapkvart!$E$14</f>
        <v>40.399999999999849</v>
      </c>
      <c r="E12" s="346">
        <f>[2]rapkvart!$F$14</f>
        <v>142.80000000000004</v>
      </c>
      <c r="F12" s="344">
        <f>[2]rapkvart!$G$14</f>
        <v>97.89999999999992</v>
      </c>
      <c r="G12" s="344">
        <f>[2]rapkvart!$H$14</f>
        <v>193.5</v>
      </c>
      <c r="H12" s="344">
        <f>[2]rapkvart!$R$14</f>
        <v>148.60000000000011</v>
      </c>
      <c r="M12" s="344" t="str">
        <f>+[2]rapkvart!$A14</f>
        <v>Operating profit/loss</v>
      </c>
      <c r="N12" s="345"/>
      <c r="O12" s="346">
        <v>21.600000000000094</v>
      </c>
      <c r="P12" s="344">
        <v>28.600000000000229</v>
      </c>
      <c r="Q12" s="346">
        <v>148.60000000000011</v>
      </c>
      <c r="R12" s="344">
        <v>160.80000000000015</v>
      </c>
    </row>
    <row r="13" spans="1:18" ht="3" customHeight="1" x14ac:dyDescent="0.2">
      <c r="A13" s="352"/>
      <c r="B13" s="360"/>
      <c r="C13" s="361"/>
      <c r="D13" s="352"/>
      <c r="E13" s="361"/>
      <c r="F13" s="352"/>
      <c r="G13" s="352"/>
      <c r="H13" s="352"/>
      <c r="M13" s="352"/>
      <c r="N13" s="360"/>
      <c r="O13" s="361"/>
      <c r="P13" s="352"/>
      <c r="Q13" s="361"/>
      <c r="R13" s="352"/>
    </row>
    <row r="14" spans="1:18" ht="9" customHeight="1" x14ac:dyDescent="0.2">
      <c r="A14" s="337" t="str">
        <f>+[2]rapkvart!$B16</f>
        <v>Finansiella intäkter</v>
      </c>
      <c r="B14" s="338"/>
      <c r="C14" s="339">
        <f>[2]rapkvart!$D$16</f>
        <v>0.19999999999999996</v>
      </c>
      <c r="D14" s="337">
        <f>[2]rapkvart!$E$16</f>
        <v>0.19999999999999996</v>
      </c>
      <c r="E14" s="339">
        <f>[2]rapkvart!$F$16</f>
        <v>0.6</v>
      </c>
      <c r="F14" s="337">
        <f>[2]rapkvart!$G$16</f>
        <v>0.6</v>
      </c>
      <c r="G14" s="337">
        <f>[2]rapkvart!$H$126</f>
        <v>-17.499999999999986</v>
      </c>
      <c r="H14" s="337">
        <f>[2]rapkvart!$R$126</f>
        <v>124.2</v>
      </c>
      <c r="M14" s="337" t="str">
        <f>+[2]rapkvart!$A16</f>
        <v>Financial income</v>
      </c>
      <c r="N14" s="338"/>
      <c r="O14" s="339">
        <v>1.5000000000000002</v>
      </c>
      <c r="P14" s="337">
        <v>-0.29999999999999982</v>
      </c>
      <c r="Q14" s="339">
        <v>2.2000000000000002</v>
      </c>
      <c r="R14" s="337">
        <v>3.7</v>
      </c>
    </row>
    <row r="15" spans="1:18" ht="9" customHeight="1" x14ac:dyDescent="0.2">
      <c r="A15" s="337" t="str">
        <f>+[2]rapkvart!$B17</f>
        <v>Finansiella kostnader</v>
      </c>
      <c r="B15" s="648">
        <f>[2]rapkvart!$C17</f>
        <v>4</v>
      </c>
      <c r="C15" s="339">
        <f>[2]rapkvart!$D$17</f>
        <v>-4.5</v>
      </c>
      <c r="D15" s="337">
        <f>[2]rapkvart!$E$17</f>
        <v>-6</v>
      </c>
      <c r="E15" s="339">
        <f>[2]rapkvart!$F$17</f>
        <v>-8.1</v>
      </c>
      <c r="F15" s="337">
        <f>[2]rapkvart!$G$17</f>
        <v>-5</v>
      </c>
      <c r="G15" s="337">
        <f>[2]rapkvart!$H$17</f>
        <v>-12.2</v>
      </c>
      <c r="H15" s="649">
        <f>[2]rapkvart!$R$17</f>
        <v>-9.1</v>
      </c>
      <c r="M15" s="337" t="str">
        <f>+[2]rapkvart!$A17</f>
        <v>Financial expenses</v>
      </c>
      <c r="N15" s="648">
        <v>4</v>
      </c>
      <c r="O15" s="339">
        <v>-1.6999999999999993</v>
      </c>
      <c r="P15" s="337">
        <v>-6.1000000000000014</v>
      </c>
      <c r="Q15" s="339">
        <v>-9.1</v>
      </c>
      <c r="R15" s="337">
        <v>-31.6</v>
      </c>
    </row>
    <row r="16" spans="1:18" ht="9.75" customHeight="1" x14ac:dyDescent="0.2">
      <c r="A16" s="344" t="str">
        <f>+[2]rapkvart!$B18</f>
        <v>Finansiella poster</v>
      </c>
      <c r="B16" s="345"/>
      <c r="C16" s="346">
        <f>[2]rapkvart!$D$18</f>
        <v>-4.3</v>
      </c>
      <c r="D16" s="344">
        <f>[2]rapkvart!$E$18</f>
        <v>-5.8</v>
      </c>
      <c r="E16" s="346">
        <f>[2]rapkvart!$F$18</f>
        <v>-7.5</v>
      </c>
      <c r="F16" s="344">
        <f>[2]rapkvart!$G$18</f>
        <v>-4.4000000000000004</v>
      </c>
      <c r="G16" s="344">
        <f>[2]rapkvart!$H$18</f>
        <v>-10</v>
      </c>
      <c r="H16" s="344">
        <f>[2]rapkvart!$R$18</f>
        <v>-6.8999999999999995</v>
      </c>
      <c r="M16" s="344" t="str">
        <f>+[2]rapkvart!$A18</f>
        <v>Net financial income/expense</v>
      </c>
      <c r="N16" s="345"/>
      <c r="O16" s="346">
        <v>-0.19999999999999907</v>
      </c>
      <c r="P16" s="344">
        <v>-6.4000000000000012</v>
      </c>
      <c r="Q16" s="346">
        <v>-6.8999999999999995</v>
      </c>
      <c r="R16" s="344">
        <v>-27.900000000000002</v>
      </c>
    </row>
    <row r="17" spans="1:1022 1027:2048 2053:3068 3073:4094 4099:5120 5125:6140 6145:7166 7171:8192 8197:9212 9217:10238 10243:11264 11269:12284 12289:13310 13315:14336 14341:15356 15361:16382" ht="3" customHeight="1" x14ac:dyDescent="0.2">
      <c r="A17" s="352"/>
      <c r="B17" s="360"/>
      <c r="C17" s="361"/>
      <c r="D17" s="352"/>
      <c r="E17" s="361"/>
      <c r="F17" s="352"/>
      <c r="G17" s="352"/>
      <c r="H17" s="352"/>
      <c r="M17" s="352"/>
      <c r="N17" s="360"/>
      <c r="O17" s="361"/>
      <c r="P17" s="352"/>
      <c r="Q17" s="361"/>
      <c r="R17" s="352"/>
    </row>
    <row r="18" spans="1:1022 1027:2048 2053:3068 3073:4094 4099:5120 5125:6140 6145:7166 7171:8192 8197:9212 9217:10238 10243:11264 11269:12284 12289:13310 13315:14336 14341:15356 15361:16382" ht="9.75" customHeight="1" x14ac:dyDescent="0.2">
      <c r="A18" s="344" t="str">
        <f>+[2]rapkvart!$B20</f>
        <v>Resultat före skatt</v>
      </c>
      <c r="B18" s="345"/>
      <c r="C18" s="346">
        <f>[2]rapkvart!$D$20</f>
        <v>88.100000000000065</v>
      </c>
      <c r="D18" s="344">
        <f>[2]rapkvart!$E$20</f>
        <v>34.599999999999852</v>
      </c>
      <c r="E18" s="346">
        <f>[2]rapkvart!$F$20</f>
        <v>135.30000000000004</v>
      </c>
      <c r="F18" s="344">
        <f>[2]rapkvart!$G$20</f>
        <v>93.499999999999915</v>
      </c>
      <c r="G18" s="344">
        <f>[2]rapkvart!$H$20</f>
        <v>183.5</v>
      </c>
      <c r="H18" s="344">
        <f>[2]rapkvart!$R$20</f>
        <v>141.7000000000001</v>
      </c>
      <c r="J18" s="242">
        <v>3</v>
      </c>
      <c r="M18" s="344" t="str">
        <f>+[2]rapkvart!$A20</f>
        <v>Income after financial items</v>
      </c>
      <c r="N18" s="345"/>
      <c r="O18" s="346">
        <v>21.400000000000095</v>
      </c>
      <c r="P18" s="344">
        <v>22.200000000000227</v>
      </c>
      <c r="Q18" s="346">
        <v>141.7000000000001</v>
      </c>
      <c r="R18" s="344">
        <v>132.90000000000015</v>
      </c>
    </row>
    <row r="19" spans="1:1022 1027:2048 2053:3068 3073:4094 4099:5120 5125:6140 6145:7166 7171:8192 8197:9212 9217:10238 10243:11264 11269:12284 12289:13310 13315:14336 14341:15356 15361:16382" s="259" customFormat="1" ht="3" customHeight="1" x14ac:dyDescent="0.2">
      <c r="A19" s="391"/>
      <c r="B19" s="666"/>
      <c r="C19" s="361"/>
      <c r="D19" s="352"/>
      <c r="E19" s="361"/>
      <c r="F19" s="352"/>
      <c r="G19" s="391"/>
      <c r="H19" s="666"/>
      <c r="L19" s="242"/>
      <c r="M19" s="391"/>
      <c r="N19" s="666"/>
      <c r="O19" s="361"/>
      <c r="P19" s="352"/>
      <c r="Q19" s="361"/>
      <c r="R19" s="352"/>
      <c r="S19" s="789"/>
      <c r="T19" s="1352"/>
      <c r="Y19" s="789"/>
      <c r="Z19" s="1352"/>
      <c r="AE19" s="789"/>
      <c r="AF19" s="1352"/>
      <c r="AK19" s="789"/>
      <c r="AL19" s="1352"/>
      <c r="AQ19" s="789"/>
      <c r="AR19" s="1352"/>
      <c r="AW19" s="789"/>
      <c r="AX19" s="1352"/>
      <c r="BC19" s="789"/>
      <c r="BD19" s="1352"/>
      <c r="BI19" s="789"/>
      <c r="BJ19" s="1352"/>
      <c r="BO19" s="789"/>
      <c r="BP19" s="1352"/>
      <c r="BU19" s="789"/>
      <c r="BV19" s="1352"/>
      <c r="CA19" s="789"/>
      <c r="CB19" s="1352"/>
      <c r="CG19" s="789"/>
      <c r="CH19" s="1352"/>
      <c r="CM19" s="789"/>
      <c r="CN19" s="1352"/>
      <c r="CS19" s="789"/>
      <c r="CT19" s="1352"/>
      <c r="CY19" s="789"/>
      <c r="CZ19" s="1352"/>
      <c r="DE19" s="789"/>
      <c r="DF19" s="1352"/>
      <c r="DK19" s="789"/>
      <c r="DL19" s="1352"/>
      <c r="DQ19" s="789"/>
      <c r="DR19" s="1352"/>
      <c r="DW19" s="789"/>
      <c r="DX19" s="1352"/>
      <c r="EC19" s="789"/>
      <c r="ED19" s="1352"/>
      <c r="EI19" s="789"/>
      <c r="EJ19" s="1352"/>
      <c r="EO19" s="789"/>
      <c r="EP19" s="1352"/>
      <c r="EU19" s="789"/>
      <c r="EV19" s="1352"/>
      <c r="FA19" s="789"/>
      <c r="FB19" s="1352"/>
      <c r="FG19" s="789"/>
      <c r="FH19" s="1352"/>
      <c r="FM19" s="789"/>
      <c r="FN19" s="1352"/>
      <c r="FS19" s="789"/>
      <c r="FT19" s="1352"/>
      <c r="FY19" s="789"/>
      <c r="FZ19" s="1352"/>
      <c r="GE19" s="789"/>
      <c r="GF19" s="1352"/>
      <c r="GK19" s="789"/>
      <c r="GL19" s="1352"/>
      <c r="GQ19" s="789"/>
      <c r="GR19" s="1352"/>
      <c r="GW19" s="789"/>
      <c r="GX19" s="1352"/>
      <c r="HC19" s="789"/>
      <c r="HD19" s="1352"/>
      <c r="HI19" s="789"/>
      <c r="HJ19" s="1352"/>
      <c r="HO19" s="789"/>
      <c r="HP19" s="1352"/>
      <c r="HU19" s="789"/>
      <c r="HV19" s="1352"/>
      <c r="IA19" s="789"/>
      <c r="IB19" s="1352"/>
      <c r="IG19" s="789"/>
      <c r="IH19" s="1352"/>
      <c r="IM19" s="789"/>
      <c r="IN19" s="1352"/>
      <c r="IS19" s="789"/>
      <c r="IT19" s="1352"/>
      <c r="IY19" s="789"/>
      <c r="IZ19" s="1352"/>
      <c r="JE19" s="789"/>
      <c r="JF19" s="1352"/>
      <c r="JK19" s="789"/>
      <c r="JL19" s="1352"/>
      <c r="JQ19" s="789"/>
      <c r="JR19" s="1352"/>
      <c r="JW19" s="789"/>
      <c r="JX19" s="1352"/>
      <c r="KC19" s="789"/>
      <c r="KD19" s="1352"/>
      <c r="KI19" s="789"/>
      <c r="KJ19" s="1352"/>
      <c r="KO19" s="789"/>
      <c r="KP19" s="1352"/>
      <c r="KU19" s="789"/>
      <c r="KV19" s="1352"/>
      <c r="LA19" s="789"/>
      <c r="LB19" s="1352"/>
      <c r="LG19" s="789"/>
      <c r="LH19" s="1352"/>
      <c r="LM19" s="789"/>
      <c r="LN19" s="1352"/>
      <c r="LS19" s="789"/>
      <c r="LT19" s="1352"/>
      <c r="LY19" s="789"/>
      <c r="LZ19" s="1352"/>
      <c r="ME19" s="789"/>
      <c r="MF19" s="1352"/>
      <c r="MK19" s="789"/>
      <c r="ML19" s="1352"/>
      <c r="MQ19" s="789"/>
      <c r="MR19" s="1352"/>
      <c r="MW19" s="789"/>
      <c r="MX19" s="1352"/>
      <c r="NC19" s="789"/>
      <c r="ND19" s="1352"/>
      <c r="NI19" s="789"/>
      <c r="NJ19" s="1352"/>
      <c r="NO19" s="789"/>
      <c r="NP19" s="1352"/>
      <c r="NU19" s="789"/>
      <c r="NV19" s="1352"/>
      <c r="OA19" s="789"/>
      <c r="OB19" s="1352"/>
      <c r="OG19" s="789"/>
      <c r="OH19" s="1352"/>
      <c r="OM19" s="789"/>
      <c r="ON19" s="1352"/>
      <c r="OS19" s="789"/>
      <c r="OT19" s="1352"/>
      <c r="OY19" s="789"/>
      <c r="OZ19" s="1352"/>
      <c r="PE19" s="789"/>
      <c r="PF19" s="1352"/>
      <c r="PK19" s="789"/>
      <c r="PL19" s="1352"/>
      <c r="PQ19" s="789"/>
      <c r="PR19" s="1352"/>
      <c r="PW19" s="789"/>
      <c r="PX19" s="1352"/>
      <c r="QC19" s="789"/>
      <c r="QD19" s="1352"/>
      <c r="QI19" s="789"/>
      <c r="QJ19" s="1352"/>
      <c r="QO19" s="789"/>
      <c r="QP19" s="1352"/>
      <c r="QU19" s="789"/>
      <c r="QV19" s="1352"/>
      <c r="RA19" s="789"/>
      <c r="RB19" s="1352"/>
      <c r="RG19" s="789"/>
      <c r="RH19" s="1352"/>
      <c r="RM19" s="789"/>
      <c r="RN19" s="1352"/>
      <c r="RS19" s="789"/>
      <c r="RT19" s="1352"/>
      <c r="RY19" s="789"/>
      <c r="RZ19" s="1352"/>
      <c r="SE19" s="789"/>
      <c r="SF19" s="1352"/>
      <c r="SK19" s="789"/>
      <c r="SL19" s="1352"/>
      <c r="SQ19" s="789"/>
      <c r="SR19" s="1352"/>
      <c r="SW19" s="789"/>
      <c r="SX19" s="1352"/>
      <c r="TC19" s="789"/>
      <c r="TD19" s="1352"/>
      <c r="TI19" s="789"/>
      <c r="TJ19" s="1352"/>
      <c r="TO19" s="789"/>
      <c r="TP19" s="1352"/>
      <c r="TU19" s="789"/>
      <c r="TV19" s="1352"/>
      <c r="UA19" s="789"/>
      <c r="UB19" s="1352"/>
      <c r="UG19" s="789"/>
      <c r="UH19" s="1352"/>
      <c r="UM19" s="789"/>
      <c r="UN19" s="1352"/>
      <c r="US19" s="789"/>
      <c r="UT19" s="1352"/>
      <c r="UY19" s="789"/>
      <c r="UZ19" s="1352"/>
      <c r="VE19" s="789"/>
      <c r="VF19" s="1352"/>
      <c r="VK19" s="789"/>
      <c r="VL19" s="1352"/>
      <c r="VQ19" s="789"/>
      <c r="VR19" s="1352"/>
      <c r="VW19" s="789"/>
      <c r="VX19" s="1352"/>
      <c r="WC19" s="789"/>
      <c r="WD19" s="1352"/>
      <c r="WI19" s="789"/>
      <c r="WJ19" s="1352"/>
      <c r="WO19" s="789"/>
      <c r="WP19" s="1352"/>
      <c r="WU19" s="789"/>
      <c r="WV19" s="1352"/>
      <c r="XA19" s="789"/>
      <c r="XB19" s="1352"/>
      <c r="XG19" s="789"/>
      <c r="XH19" s="1352"/>
      <c r="XM19" s="789"/>
      <c r="XN19" s="1352"/>
      <c r="XS19" s="789"/>
      <c r="XT19" s="1352"/>
      <c r="XY19" s="789"/>
      <c r="XZ19" s="1352"/>
      <c r="YE19" s="789"/>
      <c r="YF19" s="1352"/>
      <c r="YK19" s="789"/>
      <c r="YL19" s="1352"/>
      <c r="YQ19" s="789"/>
      <c r="YR19" s="1352"/>
      <c r="YW19" s="789"/>
      <c r="YX19" s="1352"/>
      <c r="ZC19" s="789"/>
      <c r="ZD19" s="1352"/>
      <c r="ZI19" s="789"/>
      <c r="ZJ19" s="1352"/>
      <c r="ZO19" s="789"/>
      <c r="ZP19" s="1352"/>
      <c r="ZU19" s="789"/>
      <c r="ZV19" s="1352"/>
      <c r="AAA19" s="789"/>
      <c r="AAB19" s="1352"/>
      <c r="AAG19" s="789"/>
      <c r="AAH19" s="1352"/>
      <c r="AAM19" s="789"/>
      <c r="AAN19" s="1352"/>
      <c r="AAS19" s="789"/>
      <c r="AAT19" s="1352"/>
      <c r="AAY19" s="789"/>
      <c r="AAZ19" s="1352"/>
      <c r="ABE19" s="789"/>
      <c r="ABF19" s="1352"/>
      <c r="ABK19" s="789"/>
      <c r="ABL19" s="1352"/>
      <c r="ABQ19" s="789"/>
      <c r="ABR19" s="1352"/>
      <c r="ABW19" s="789"/>
      <c r="ABX19" s="1352"/>
      <c r="ACC19" s="789"/>
      <c r="ACD19" s="1352"/>
      <c r="ACI19" s="789"/>
      <c r="ACJ19" s="1352"/>
      <c r="ACO19" s="789"/>
      <c r="ACP19" s="1352"/>
      <c r="ACU19" s="789"/>
      <c r="ACV19" s="1352"/>
      <c r="ADA19" s="789"/>
      <c r="ADB19" s="1352"/>
      <c r="ADG19" s="789"/>
      <c r="ADH19" s="1352"/>
      <c r="ADM19" s="789"/>
      <c r="ADN19" s="1352"/>
      <c r="ADS19" s="789"/>
      <c r="ADT19" s="1352"/>
      <c r="ADY19" s="789"/>
      <c r="ADZ19" s="1352"/>
      <c r="AEE19" s="789"/>
      <c r="AEF19" s="1352"/>
      <c r="AEK19" s="789"/>
      <c r="AEL19" s="1352"/>
      <c r="AEQ19" s="789"/>
      <c r="AER19" s="1352"/>
      <c r="AEW19" s="789"/>
      <c r="AEX19" s="1352"/>
      <c r="AFC19" s="789"/>
      <c r="AFD19" s="1352"/>
      <c r="AFI19" s="789"/>
      <c r="AFJ19" s="1352"/>
      <c r="AFO19" s="789"/>
      <c r="AFP19" s="1352"/>
      <c r="AFU19" s="789"/>
      <c r="AFV19" s="1352"/>
      <c r="AGA19" s="789"/>
      <c r="AGB19" s="1352"/>
      <c r="AGG19" s="789"/>
      <c r="AGH19" s="1352"/>
      <c r="AGM19" s="789"/>
      <c r="AGN19" s="1352"/>
      <c r="AGS19" s="789"/>
      <c r="AGT19" s="1352"/>
      <c r="AGY19" s="789"/>
      <c r="AGZ19" s="1352"/>
      <c r="AHE19" s="789"/>
      <c r="AHF19" s="1352"/>
      <c r="AHK19" s="789"/>
      <c r="AHL19" s="1352"/>
      <c r="AHQ19" s="789"/>
      <c r="AHR19" s="1352"/>
      <c r="AHW19" s="789"/>
      <c r="AHX19" s="1352"/>
      <c r="AIC19" s="789"/>
      <c r="AID19" s="1352"/>
      <c r="AII19" s="789"/>
      <c r="AIJ19" s="1352"/>
      <c r="AIO19" s="789"/>
      <c r="AIP19" s="1352"/>
      <c r="AIU19" s="789"/>
      <c r="AIV19" s="1352"/>
      <c r="AJA19" s="789"/>
      <c r="AJB19" s="1352"/>
      <c r="AJG19" s="789"/>
      <c r="AJH19" s="1352"/>
      <c r="AJM19" s="789"/>
      <c r="AJN19" s="1352"/>
      <c r="AJS19" s="789"/>
      <c r="AJT19" s="1352"/>
      <c r="AJY19" s="789"/>
      <c r="AJZ19" s="1352"/>
      <c r="AKE19" s="789"/>
      <c r="AKF19" s="1352"/>
      <c r="AKK19" s="789"/>
      <c r="AKL19" s="1352"/>
      <c r="AKQ19" s="789"/>
      <c r="AKR19" s="1352"/>
      <c r="AKW19" s="789"/>
      <c r="AKX19" s="1352"/>
      <c r="ALC19" s="789"/>
      <c r="ALD19" s="1352"/>
      <c r="ALI19" s="789"/>
      <c r="ALJ19" s="1352"/>
      <c r="ALO19" s="789"/>
      <c r="ALP19" s="1352"/>
      <c r="ALU19" s="789"/>
      <c r="ALV19" s="1352"/>
      <c r="AMA19" s="789"/>
      <c r="AMB19" s="1352"/>
      <c r="AMG19" s="789"/>
      <c r="AMH19" s="1352"/>
      <c r="AMM19" s="789"/>
      <c r="AMN19" s="1352"/>
      <c r="AMS19" s="789"/>
      <c r="AMT19" s="1352"/>
      <c r="AMY19" s="789"/>
      <c r="AMZ19" s="1352"/>
      <c r="ANE19" s="789"/>
      <c r="ANF19" s="1352"/>
      <c r="ANK19" s="789"/>
      <c r="ANL19" s="1352"/>
      <c r="ANQ19" s="789"/>
      <c r="ANR19" s="1352"/>
      <c r="ANW19" s="789"/>
      <c r="ANX19" s="1352"/>
      <c r="AOC19" s="789"/>
      <c r="AOD19" s="1352"/>
      <c r="AOI19" s="789"/>
      <c r="AOJ19" s="1352"/>
      <c r="AOO19" s="789"/>
      <c r="AOP19" s="1352"/>
      <c r="AOU19" s="789"/>
      <c r="AOV19" s="1352"/>
      <c r="APA19" s="789"/>
      <c r="APB19" s="1352"/>
      <c r="APG19" s="789"/>
      <c r="APH19" s="1352"/>
      <c r="APM19" s="789"/>
      <c r="APN19" s="1352"/>
      <c r="APS19" s="789"/>
      <c r="APT19" s="1352"/>
      <c r="APY19" s="789"/>
      <c r="APZ19" s="1352"/>
      <c r="AQE19" s="789"/>
      <c r="AQF19" s="1352"/>
      <c r="AQK19" s="789"/>
      <c r="AQL19" s="1352"/>
      <c r="AQQ19" s="789"/>
      <c r="AQR19" s="1352"/>
      <c r="AQW19" s="789"/>
      <c r="AQX19" s="1352"/>
      <c r="ARC19" s="789"/>
      <c r="ARD19" s="1352"/>
      <c r="ARI19" s="789"/>
      <c r="ARJ19" s="1352"/>
      <c r="ARO19" s="789"/>
      <c r="ARP19" s="1352"/>
      <c r="ARU19" s="789"/>
      <c r="ARV19" s="1352"/>
      <c r="ASA19" s="789"/>
      <c r="ASB19" s="1352"/>
      <c r="ASG19" s="789"/>
      <c r="ASH19" s="1352"/>
      <c r="ASM19" s="789"/>
      <c r="ASN19" s="1352"/>
      <c r="ASS19" s="789"/>
      <c r="AST19" s="1352"/>
      <c r="ASY19" s="789"/>
      <c r="ASZ19" s="1352"/>
      <c r="ATE19" s="789"/>
      <c r="ATF19" s="1352"/>
      <c r="ATK19" s="789"/>
      <c r="ATL19" s="1352"/>
      <c r="ATQ19" s="789"/>
      <c r="ATR19" s="1352"/>
      <c r="ATW19" s="789"/>
      <c r="ATX19" s="1352"/>
      <c r="AUC19" s="789"/>
      <c r="AUD19" s="1352"/>
      <c r="AUI19" s="789"/>
      <c r="AUJ19" s="1352"/>
      <c r="AUO19" s="789"/>
      <c r="AUP19" s="1352"/>
      <c r="AUU19" s="789"/>
      <c r="AUV19" s="1352"/>
      <c r="AVA19" s="789"/>
      <c r="AVB19" s="1352"/>
      <c r="AVG19" s="789"/>
      <c r="AVH19" s="1352"/>
      <c r="AVM19" s="789"/>
      <c r="AVN19" s="1352"/>
      <c r="AVS19" s="789"/>
      <c r="AVT19" s="1352"/>
      <c r="AVY19" s="789"/>
      <c r="AVZ19" s="1352"/>
      <c r="AWE19" s="789"/>
      <c r="AWF19" s="1352"/>
      <c r="AWK19" s="789"/>
      <c r="AWL19" s="1352"/>
      <c r="AWQ19" s="789"/>
      <c r="AWR19" s="1352"/>
      <c r="AWW19" s="789"/>
      <c r="AWX19" s="1352"/>
      <c r="AXC19" s="789"/>
      <c r="AXD19" s="1352"/>
      <c r="AXI19" s="789"/>
      <c r="AXJ19" s="1352"/>
      <c r="AXO19" s="789"/>
      <c r="AXP19" s="1352"/>
      <c r="AXU19" s="789"/>
      <c r="AXV19" s="1352"/>
      <c r="AYA19" s="789"/>
      <c r="AYB19" s="1352"/>
      <c r="AYG19" s="789"/>
      <c r="AYH19" s="1352"/>
      <c r="AYM19" s="789"/>
      <c r="AYN19" s="1352"/>
      <c r="AYS19" s="789"/>
      <c r="AYT19" s="1352"/>
      <c r="AYY19" s="789"/>
      <c r="AYZ19" s="1352"/>
      <c r="AZE19" s="789"/>
      <c r="AZF19" s="1352"/>
      <c r="AZK19" s="789"/>
      <c r="AZL19" s="1352"/>
      <c r="AZQ19" s="789"/>
      <c r="AZR19" s="1352"/>
      <c r="AZW19" s="789"/>
      <c r="AZX19" s="1352"/>
      <c r="BAC19" s="789"/>
      <c r="BAD19" s="1352"/>
      <c r="BAI19" s="789"/>
      <c r="BAJ19" s="1352"/>
      <c r="BAO19" s="789"/>
      <c r="BAP19" s="1352"/>
      <c r="BAU19" s="789"/>
      <c r="BAV19" s="1352"/>
      <c r="BBA19" s="789"/>
      <c r="BBB19" s="1352"/>
      <c r="BBG19" s="789"/>
      <c r="BBH19" s="1352"/>
      <c r="BBM19" s="789"/>
      <c r="BBN19" s="1352"/>
      <c r="BBS19" s="789"/>
      <c r="BBT19" s="1352"/>
      <c r="BBY19" s="789"/>
      <c r="BBZ19" s="1352"/>
      <c r="BCE19" s="789"/>
      <c r="BCF19" s="1352"/>
      <c r="BCK19" s="789"/>
      <c r="BCL19" s="1352"/>
      <c r="BCQ19" s="789"/>
      <c r="BCR19" s="1352"/>
      <c r="BCW19" s="789"/>
      <c r="BCX19" s="1352"/>
      <c r="BDC19" s="789"/>
      <c r="BDD19" s="1352"/>
      <c r="BDI19" s="789"/>
      <c r="BDJ19" s="1352"/>
      <c r="BDO19" s="789"/>
      <c r="BDP19" s="1352"/>
      <c r="BDU19" s="789"/>
      <c r="BDV19" s="1352"/>
      <c r="BEA19" s="789"/>
      <c r="BEB19" s="1352"/>
      <c r="BEG19" s="789"/>
      <c r="BEH19" s="1352"/>
      <c r="BEM19" s="789"/>
      <c r="BEN19" s="1352"/>
      <c r="BES19" s="789"/>
      <c r="BET19" s="1352"/>
      <c r="BEY19" s="789"/>
      <c r="BEZ19" s="1352"/>
      <c r="BFE19" s="789"/>
      <c r="BFF19" s="1352"/>
      <c r="BFK19" s="789"/>
      <c r="BFL19" s="1352"/>
      <c r="BFQ19" s="789"/>
      <c r="BFR19" s="1352"/>
      <c r="BFW19" s="789"/>
      <c r="BFX19" s="1352"/>
      <c r="BGC19" s="789"/>
      <c r="BGD19" s="1352"/>
      <c r="BGI19" s="789"/>
      <c r="BGJ19" s="1352"/>
      <c r="BGO19" s="789"/>
      <c r="BGP19" s="1352"/>
      <c r="BGU19" s="789"/>
      <c r="BGV19" s="1352"/>
      <c r="BHA19" s="789"/>
      <c r="BHB19" s="1352"/>
      <c r="BHG19" s="789"/>
      <c r="BHH19" s="1352"/>
      <c r="BHM19" s="789"/>
      <c r="BHN19" s="1352"/>
      <c r="BHS19" s="789"/>
      <c r="BHT19" s="1352"/>
      <c r="BHY19" s="789"/>
      <c r="BHZ19" s="1352"/>
      <c r="BIE19" s="789"/>
      <c r="BIF19" s="1352"/>
      <c r="BIK19" s="789"/>
      <c r="BIL19" s="1352"/>
      <c r="BIQ19" s="789"/>
      <c r="BIR19" s="1352"/>
      <c r="BIW19" s="789"/>
      <c r="BIX19" s="1352"/>
      <c r="BJC19" s="789"/>
      <c r="BJD19" s="1352"/>
      <c r="BJI19" s="789"/>
      <c r="BJJ19" s="1352"/>
      <c r="BJO19" s="789"/>
      <c r="BJP19" s="1352"/>
      <c r="BJU19" s="789"/>
      <c r="BJV19" s="1352"/>
      <c r="BKA19" s="789"/>
      <c r="BKB19" s="1352"/>
      <c r="BKG19" s="789"/>
      <c r="BKH19" s="1352"/>
      <c r="BKM19" s="789"/>
      <c r="BKN19" s="1352"/>
      <c r="BKS19" s="789"/>
      <c r="BKT19" s="1352"/>
      <c r="BKY19" s="789"/>
      <c r="BKZ19" s="1352"/>
      <c r="BLE19" s="789"/>
      <c r="BLF19" s="1352"/>
      <c r="BLK19" s="789"/>
      <c r="BLL19" s="1352"/>
      <c r="BLQ19" s="789"/>
      <c r="BLR19" s="1352"/>
      <c r="BLW19" s="789"/>
      <c r="BLX19" s="1352"/>
      <c r="BMC19" s="789"/>
      <c r="BMD19" s="1352"/>
      <c r="BMI19" s="789"/>
      <c r="BMJ19" s="1352"/>
      <c r="BMO19" s="789"/>
      <c r="BMP19" s="1352"/>
      <c r="BMU19" s="789"/>
      <c r="BMV19" s="1352"/>
      <c r="BNA19" s="789"/>
      <c r="BNB19" s="1352"/>
      <c r="BNG19" s="789"/>
      <c r="BNH19" s="1352"/>
      <c r="BNM19" s="789"/>
      <c r="BNN19" s="1352"/>
      <c r="BNS19" s="789"/>
      <c r="BNT19" s="1352"/>
      <c r="BNY19" s="789"/>
      <c r="BNZ19" s="1352"/>
      <c r="BOE19" s="789"/>
      <c r="BOF19" s="1352"/>
      <c r="BOK19" s="789"/>
      <c r="BOL19" s="1352"/>
      <c r="BOQ19" s="789"/>
      <c r="BOR19" s="1352"/>
      <c r="BOW19" s="789"/>
      <c r="BOX19" s="1352"/>
      <c r="BPC19" s="789"/>
      <c r="BPD19" s="1352"/>
      <c r="BPI19" s="789"/>
      <c r="BPJ19" s="1352"/>
      <c r="BPO19" s="789"/>
      <c r="BPP19" s="1352"/>
      <c r="BPU19" s="789"/>
      <c r="BPV19" s="1352"/>
      <c r="BQA19" s="789"/>
      <c r="BQB19" s="1352"/>
      <c r="BQG19" s="789"/>
      <c r="BQH19" s="1352"/>
      <c r="BQM19" s="789"/>
      <c r="BQN19" s="1352"/>
      <c r="BQS19" s="789"/>
      <c r="BQT19" s="1352"/>
      <c r="BQY19" s="789"/>
      <c r="BQZ19" s="1352"/>
      <c r="BRE19" s="789"/>
      <c r="BRF19" s="1352"/>
      <c r="BRK19" s="789"/>
      <c r="BRL19" s="1352"/>
      <c r="BRQ19" s="789"/>
      <c r="BRR19" s="1352"/>
      <c r="BRW19" s="789"/>
      <c r="BRX19" s="1352"/>
      <c r="BSC19" s="789"/>
      <c r="BSD19" s="1352"/>
      <c r="BSI19" s="789"/>
      <c r="BSJ19" s="1352"/>
      <c r="BSO19" s="789"/>
      <c r="BSP19" s="1352"/>
      <c r="BSU19" s="789"/>
      <c r="BSV19" s="1352"/>
      <c r="BTA19" s="789"/>
      <c r="BTB19" s="1352"/>
      <c r="BTG19" s="789"/>
      <c r="BTH19" s="1352"/>
      <c r="BTM19" s="789"/>
      <c r="BTN19" s="1352"/>
      <c r="BTS19" s="789"/>
      <c r="BTT19" s="1352"/>
      <c r="BTY19" s="789"/>
      <c r="BTZ19" s="1352"/>
      <c r="BUE19" s="789"/>
      <c r="BUF19" s="1352"/>
      <c r="BUK19" s="789"/>
      <c r="BUL19" s="1352"/>
      <c r="BUQ19" s="789"/>
      <c r="BUR19" s="1352"/>
      <c r="BUW19" s="789"/>
      <c r="BUX19" s="1352"/>
      <c r="BVC19" s="789"/>
      <c r="BVD19" s="1352"/>
      <c r="BVI19" s="789"/>
      <c r="BVJ19" s="1352"/>
      <c r="BVO19" s="789"/>
      <c r="BVP19" s="1352"/>
      <c r="BVU19" s="789"/>
      <c r="BVV19" s="1352"/>
      <c r="BWA19" s="789"/>
      <c r="BWB19" s="1352"/>
      <c r="BWG19" s="789"/>
      <c r="BWH19" s="1352"/>
      <c r="BWM19" s="789"/>
      <c r="BWN19" s="1352"/>
      <c r="BWS19" s="789"/>
      <c r="BWT19" s="1352"/>
      <c r="BWY19" s="789"/>
      <c r="BWZ19" s="1352"/>
      <c r="BXE19" s="789"/>
      <c r="BXF19" s="1352"/>
      <c r="BXK19" s="789"/>
      <c r="BXL19" s="1352"/>
      <c r="BXQ19" s="789"/>
      <c r="BXR19" s="1352"/>
      <c r="BXW19" s="789"/>
      <c r="BXX19" s="1352"/>
      <c r="BYC19" s="789"/>
      <c r="BYD19" s="1352"/>
      <c r="BYI19" s="789"/>
      <c r="BYJ19" s="1352"/>
      <c r="BYO19" s="789"/>
      <c r="BYP19" s="1352"/>
      <c r="BYU19" s="789"/>
      <c r="BYV19" s="1352"/>
      <c r="BZA19" s="789"/>
      <c r="BZB19" s="1352"/>
      <c r="BZG19" s="789"/>
      <c r="BZH19" s="1352"/>
      <c r="BZM19" s="789"/>
      <c r="BZN19" s="1352"/>
      <c r="BZS19" s="789"/>
      <c r="BZT19" s="1352"/>
      <c r="BZY19" s="789"/>
      <c r="BZZ19" s="1352"/>
      <c r="CAE19" s="789"/>
      <c r="CAF19" s="1352"/>
      <c r="CAK19" s="789"/>
      <c r="CAL19" s="1352"/>
      <c r="CAQ19" s="789"/>
      <c r="CAR19" s="1352"/>
      <c r="CAW19" s="789"/>
      <c r="CAX19" s="1352"/>
      <c r="CBC19" s="789"/>
      <c r="CBD19" s="1352"/>
      <c r="CBI19" s="789"/>
      <c r="CBJ19" s="1352"/>
      <c r="CBO19" s="789"/>
      <c r="CBP19" s="1352"/>
      <c r="CBU19" s="789"/>
      <c r="CBV19" s="1352"/>
      <c r="CCA19" s="789"/>
      <c r="CCB19" s="1352"/>
      <c r="CCG19" s="789"/>
      <c r="CCH19" s="1352"/>
      <c r="CCM19" s="789"/>
      <c r="CCN19" s="1352"/>
      <c r="CCS19" s="789"/>
      <c r="CCT19" s="1352"/>
      <c r="CCY19" s="789"/>
      <c r="CCZ19" s="1352"/>
      <c r="CDE19" s="789"/>
      <c r="CDF19" s="1352"/>
      <c r="CDK19" s="789"/>
      <c r="CDL19" s="1352"/>
      <c r="CDQ19" s="789"/>
      <c r="CDR19" s="1352"/>
      <c r="CDW19" s="789"/>
      <c r="CDX19" s="1352"/>
      <c r="CEC19" s="789"/>
      <c r="CED19" s="1352"/>
      <c r="CEI19" s="789"/>
      <c r="CEJ19" s="1352"/>
      <c r="CEO19" s="789"/>
      <c r="CEP19" s="1352"/>
      <c r="CEU19" s="789"/>
      <c r="CEV19" s="1352"/>
      <c r="CFA19" s="789"/>
      <c r="CFB19" s="1352"/>
      <c r="CFG19" s="789"/>
      <c r="CFH19" s="1352"/>
      <c r="CFM19" s="789"/>
      <c r="CFN19" s="1352"/>
      <c r="CFS19" s="789"/>
      <c r="CFT19" s="1352"/>
      <c r="CFY19" s="789"/>
      <c r="CFZ19" s="1352"/>
      <c r="CGE19" s="789"/>
      <c r="CGF19" s="1352"/>
      <c r="CGK19" s="789"/>
      <c r="CGL19" s="1352"/>
      <c r="CGQ19" s="789"/>
      <c r="CGR19" s="1352"/>
      <c r="CGW19" s="789"/>
      <c r="CGX19" s="1352"/>
      <c r="CHC19" s="789"/>
      <c r="CHD19" s="1352"/>
      <c r="CHI19" s="789"/>
      <c r="CHJ19" s="1352"/>
      <c r="CHO19" s="789"/>
      <c r="CHP19" s="1352"/>
      <c r="CHU19" s="789"/>
      <c r="CHV19" s="1352"/>
      <c r="CIA19" s="789"/>
      <c r="CIB19" s="1352"/>
      <c r="CIG19" s="789"/>
      <c r="CIH19" s="1352"/>
      <c r="CIM19" s="789"/>
      <c r="CIN19" s="1352"/>
      <c r="CIS19" s="789"/>
      <c r="CIT19" s="1352"/>
      <c r="CIY19" s="789"/>
      <c r="CIZ19" s="1352"/>
      <c r="CJE19" s="789"/>
      <c r="CJF19" s="1352"/>
      <c r="CJK19" s="789"/>
      <c r="CJL19" s="1352"/>
      <c r="CJQ19" s="789"/>
      <c r="CJR19" s="1352"/>
      <c r="CJW19" s="789"/>
      <c r="CJX19" s="1352"/>
      <c r="CKC19" s="789"/>
      <c r="CKD19" s="1352"/>
      <c r="CKI19" s="789"/>
      <c r="CKJ19" s="1352"/>
      <c r="CKO19" s="789"/>
      <c r="CKP19" s="1352"/>
      <c r="CKU19" s="789"/>
      <c r="CKV19" s="1352"/>
      <c r="CLA19" s="789"/>
      <c r="CLB19" s="1352"/>
      <c r="CLG19" s="789"/>
      <c r="CLH19" s="1352"/>
      <c r="CLM19" s="789"/>
      <c r="CLN19" s="1352"/>
      <c r="CLS19" s="789"/>
      <c r="CLT19" s="1352"/>
      <c r="CLY19" s="789"/>
      <c r="CLZ19" s="1352"/>
      <c r="CME19" s="789"/>
      <c r="CMF19" s="1352"/>
      <c r="CMK19" s="789"/>
      <c r="CML19" s="1352"/>
      <c r="CMQ19" s="789"/>
      <c r="CMR19" s="1352"/>
      <c r="CMW19" s="789"/>
      <c r="CMX19" s="1352"/>
      <c r="CNC19" s="789"/>
      <c r="CND19" s="1352"/>
      <c r="CNI19" s="789"/>
      <c r="CNJ19" s="1352"/>
      <c r="CNO19" s="789"/>
      <c r="CNP19" s="1352"/>
      <c r="CNU19" s="789"/>
      <c r="CNV19" s="1352"/>
      <c r="COA19" s="789"/>
      <c r="COB19" s="1352"/>
      <c r="COG19" s="789"/>
      <c r="COH19" s="1352"/>
      <c r="COM19" s="789"/>
      <c r="CON19" s="1352"/>
      <c r="COS19" s="789"/>
      <c r="COT19" s="1352"/>
      <c r="COY19" s="789"/>
      <c r="COZ19" s="1352"/>
      <c r="CPE19" s="789"/>
      <c r="CPF19" s="1352"/>
      <c r="CPK19" s="789"/>
      <c r="CPL19" s="1352"/>
      <c r="CPQ19" s="789"/>
      <c r="CPR19" s="1352"/>
      <c r="CPW19" s="789"/>
      <c r="CPX19" s="1352"/>
      <c r="CQC19" s="789"/>
      <c r="CQD19" s="1352"/>
      <c r="CQI19" s="789"/>
      <c r="CQJ19" s="1352"/>
      <c r="CQO19" s="789"/>
      <c r="CQP19" s="1352"/>
      <c r="CQU19" s="789"/>
      <c r="CQV19" s="1352"/>
      <c r="CRA19" s="789"/>
      <c r="CRB19" s="1352"/>
      <c r="CRG19" s="789"/>
      <c r="CRH19" s="1352"/>
      <c r="CRM19" s="789"/>
      <c r="CRN19" s="1352"/>
      <c r="CRS19" s="789"/>
      <c r="CRT19" s="1352"/>
      <c r="CRY19" s="789"/>
      <c r="CRZ19" s="1352"/>
      <c r="CSE19" s="789"/>
      <c r="CSF19" s="1352"/>
      <c r="CSK19" s="789"/>
      <c r="CSL19" s="1352"/>
      <c r="CSQ19" s="789"/>
      <c r="CSR19" s="1352"/>
      <c r="CSW19" s="789"/>
      <c r="CSX19" s="1352"/>
      <c r="CTC19" s="789"/>
      <c r="CTD19" s="1352"/>
      <c r="CTI19" s="789"/>
      <c r="CTJ19" s="1352"/>
      <c r="CTO19" s="789"/>
      <c r="CTP19" s="1352"/>
      <c r="CTU19" s="789"/>
      <c r="CTV19" s="1352"/>
      <c r="CUA19" s="789"/>
      <c r="CUB19" s="1352"/>
      <c r="CUG19" s="789"/>
      <c r="CUH19" s="1352"/>
      <c r="CUM19" s="789"/>
      <c r="CUN19" s="1352"/>
      <c r="CUS19" s="789"/>
      <c r="CUT19" s="1352"/>
      <c r="CUY19" s="789"/>
      <c r="CUZ19" s="1352"/>
      <c r="CVE19" s="789"/>
      <c r="CVF19" s="1352"/>
      <c r="CVK19" s="789"/>
      <c r="CVL19" s="1352"/>
      <c r="CVQ19" s="789"/>
      <c r="CVR19" s="1352"/>
      <c r="CVW19" s="789"/>
      <c r="CVX19" s="1352"/>
      <c r="CWC19" s="789"/>
      <c r="CWD19" s="1352"/>
      <c r="CWI19" s="789"/>
      <c r="CWJ19" s="1352"/>
      <c r="CWO19" s="789"/>
      <c r="CWP19" s="1352"/>
      <c r="CWU19" s="789"/>
      <c r="CWV19" s="1352"/>
      <c r="CXA19" s="789"/>
      <c r="CXB19" s="1352"/>
      <c r="CXG19" s="789"/>
      <c r="CXH19" s="1352"/>
      <c r="CXM19" s="789"/>
      <c r="CXN19" s="1352"/>
      <c r="CXS19" s="789"/>
      <c r="CXT19" s="1352"/>
      <c r="CXY19" s="789"/>
      <c r="CXZ19" s="1352"/>
      <c r="CYE19" s="789"/>
      <c r="CYF19" s="1352"/>
      <c r="CYK19" s="789"/>
      <c r="CYL19" s="1352"/>
      <c r="CYQ19" s="789"/>
      <c r="CYR19" s="1352"/>
      <c r="CYW19" s="789"/>
      <c r="CYX19" s="1352"/>
      <c r="CZC19" s="789"/>
      <c r="CZD19" s="1352"/>
      <c r="CZI19" s="789"/>
      <c r="CZJ19" s="1352"/>
      <c r="CZO19" s="789"/>
      <c r="CZP19" s="1352"/>
      <c r="CZU19" s="789"/>
      <c r="CZV19" s="1352"/>
      <c r="DAA19" s="789"/>
      <c r="DAB19" s="1352"/>
      <c r="DAG19" s="789"/>
      <c r="DAH19" s="1352"/>
      <c r="DAM19" s="789"/>
      <c r="DAN19" s="1352"/>
      <c r="DAS19" s="789"/>
      <c r="DAT19" s="1352"/>
      <c r="DAY19" s="789"/>
      <c r="DAZ19" s="1352"/>
      <c r="DBE19" s="789"/>
      <c r="DBF19" s="1352"/>
      <c r="DBK19" s="789"/>
      <c r="DBL19" s="1352"/>
      <c r="DBQ19" s="789"/>
      <c r="DBR19" s="1352"/>
      <c r="DBW19" s="789"/>
      <c r="DBX19" s="1352"/>
      <c r="DCC19" s="789"/>
      <c r="DCD19" s="1352"/>
      <c r="DCI19" s="789"/>
      <c r="DCJ19" s="1352"/>
      <c r="DCO19" s="789"/>
      <c r="DCP19" s="1352"/>
      <c r="DCU19" s="789"/>
      <c r="DCV19" s="1352"/>
      <c r="DDA19" s="789"/>
      <c r="DDB19" s="1352"/>
      <c r="DDG19" s="789"/>
      <c r="DDH19" s="1352"/>
      <c r="DDM19" s="789"/>
      <c r="DDN19" s="1352"/>
      <c r="DDS19" s="789"/>
      <c r="DDT19" s="1352"/>
      <c r="DDY19" s="789"/>
      <c r="DDZ19" s="1352"/>
      <c r="DEE19" s="789"/>
      <c r="DEF19" s="1352"/>
      <c r="DEK19" s="789"/>
      <c r="DEL19" s="1352"/>
      <c r="DEQ19" s="789"/>
      <c r="DER19" s="1352"/>
      <c r="DEW19" s="789"/>
      <c r="DEX19" s="1352"/>
      <c r="DFC19" s="789"/>
      <c r="DFD19" s="1352"/>
      <c r="DFI19" s="789"/>
      <c r="DFJ19" s="1352"/>
      <c r="DFO19" s="789"/>
      <c r="DFP19" s="1352"/>
      <c r="DFU19" s="789"/>
      <c r="DFV19" s="1352"/>
      <c r="DGA19" s="789"/>
      <c r="DGB19" s="1352"/>
      <c r="DGG19" s="789"/>
      <c r="DGH19" s="1352"/>
      <c r="DGM19" s="789"/>
      <c r="DGN19" s="1352"/>
      <c r="DGS19" s="789"/>
      <c r="DGT19" s="1352"/>
      <c r="DGY19" s="789"/>
      <c r="DGZ19" s="1352"/>
      <c r="DHE19" s="789"/>
      <c r="DHF19" s="1352"/>
      <c r="DHK19" s="789"/>
      <c r="DHL19" s="1352"/>
      <c r="DHQ19" s="789"/>
      <c r="DHR19" s="1352"/>
      <c r="DHW19" s="789"/>
      <c r="DHX19" s="1352"/>
      <c r="DIC19" s="789"/>
      <c r="DID19" s="1352"/>
      <c r="DII19" s="789"/>
      <c r="DIJ19" s="1352"/>
      <c r="DIO19" s="789"/>
      <c r="DIP19" s="1352"/>
      <c r="DIU19" s="789"/>
      <c r="DIV19" s="1352"/>
      <c r="DJA19" s="789"/>
      <c r="DJB19" s="1352"/>
      <c r="DJG19" s="789"/>
      <c r="DJH19" s="1352"/>
      <c r="DJM19" s="789"/>
      <c r="DJN19" s="1352"/>
      <c r="DJS19" s="789"/>
      <c r="DJT19" s="1352"/>
      <c r="DJY19" s="789"/>
      <c r="DJZ19" s="1352"/>
      <c r="DKE19" s="789"/>
      <c r="DKF19" s="1352"/>
      <c r="DKK19" s="789"/>
      <c r="DKL19" s="1352"/>
      <c r="DKQ19" s="789"/>
      <c r="DKR19" s="1352"/>
      <c r="DKW19" s="789"/>
      <c r="DKX19" s="1352"/>
      <c r="DLC19" s="789"/>
      <c r="DLD19" s="1352"/>
      <c r="DLI19" s="789"/>
      <c r="DLJ19" s="1352"/>
      <c r="DLO19" s="789"/>
      <c r="DLP19" s="1352"/>
      <c r="DLU19" s="789"/>
      <c r="DLV19" s="1352"/>
      <c r="DMA19" s="789"/>
      <c r="DMB19" s="1352"/>
      <c r="DMG19" s="789"/>
      <c r="DMH19" s="1352"/>
      <c r="DMM19" s="789"/>
      <c r="DMN19" s="1352"/>
      <c r="DMS19" s="789"/>
      <c r="DMT19" s="1352"/>
      <c r="DMY19" s="789"/>
      <c r="DMZ19" s="1352"/>
      <c r="DNE19" s="789"/>
      <c r="DNF19" s="1352"/>
      <c r="DNK19" s="789"/>
      <c r="DNL19" s="1352"/>
      <c r="DNQ19" s="789"/>
      <c r="DNR19" s="1352"/>
      <c r="DNW19" s="789"/>
      <c r="DNX19" s="1352"/>
      <c r="DOC19" s="789"/>
      <c r="DOD19" s="1352"/>
      <c r="DOI19" s="789"/>
      <c r="DOJ19" s="1352"/>
      <c r="DOO19" s="789"/>
      <c r="DOP19" s="1352"/>
      <c r="DOU19" s="789"/>
      <c r="DOV19" s="1352"/>
      <c r="DPA19" s="789"/>
      <c r="DPB19" s="1352"/>
      <c r="DPG19" s="789"/>
      <c r="DPH19" s="1352"/>
      <c r="DPM19" s="789"/>
      <c r="DPN19" s="1352"/>
      <c r="DPS19" s="789"/>
      <c r="DPT19" s="1352"/>
      <c r="DPY19" s="789"/>
      <c r="DPZ19" s="1352"/>
      <c r="DQE19" s="789"/>
      <c r="DQF19" s="1352"/>
      <c r="DQK19" s="789"/>
      <c r="DQL19" s="1352"/>
      <c r="DQQ19" s="789"/>
      <c r="DQR19" s="1352"/>
      <c r="DQW19" s="789"/>
      <c r="DQX19" s="1352"/>
      <c r="DRC19" s="789"/>
      <c r="DRD19" s="1352"/>
      <c r="DRI19" s="789"/>
      <c r="DRJ19" s="1352"/>
      <c r="DRO19" s="789"/>
      <c r="DRP19" s="1352"/>
      <c r="DRU19" s="789"/>
      <c r="DRV19" s="1352"/>
      <c r="DSA19" s="789"/>
      <c r="DSB19" s="1352"/>
      <c r="DSG19" s="789"/>
      <c r="DSH19" s="1352"/>
      <c r="DSM19" s="789"/>
      <c r="DSN19" s="1352"/>
      <c r="DSS19" s="789"/>
      <c r="DST19" s="1352"/>
      <c r="DSY19" s="789"/>
      <c r="DSZ19" s="1352"/>
      <c r="DTE19" s="789"/>
      <c r="DTF19" s="1352"/>
      <c r="DTK19" s="789"/>
      <c r="DTL19" s="1352"/>
      <c r="DTQ19" s="789"/>
      <c r="DTR19" s="1352"/>
      <c r="DTW19" s="789"/>
      <c r="DTX19" s="1352"/>
      <c r="DUC19" s="789"/>
      <c r="DUD19" s="1352"/>
      <c r="DUI19" s="789"/>
      <c r="DUJ19" s="1352"/>
      <c r="DUO19" s="789"/>
      <c r="DUP19" s="1352"/>
      <c r="DUU19" s="789"/>
      <c r="DUV19" s="1352"/>
      <c r="DVA19" s="789"/>
      <c r="DVB19" s="1352"/>
      <c r="DVG19" s="789"/>
      <c r="DVH19" s="1352"/>
      <c r="DVM19" s="789"/>
      <c r="DVN19" s="1352"/>
      <c r="DVS19" s="789"/>
      <c r="DVT19" s="1352"/>
      <c r="DVY19" s="789"/>
      <c r="DVZ19" s="1352"/>
      <c r="DWE19" s="789"/>
      <c r="DWF19" s="1352"/>
      <c r="DWK19" s="789"/>
      <c r="DWL19" s="1352"/>
      <c r="DWQ19" s="789"/>
      <c r="DWR19" s="1352"/>
      <c r="DWW19" s="789"/>
      <c r="DWX19" s="1352"/>
      <c r="DXC19" s="789"/>
      <c r="DXD19" s="1352"/>
      <c r="DXI19" s="789"/>
      <c r="DXJ19" s="1352"/>
      <c r="DXO19" s="789"/>
      <c r="DXP19" s="1352"/>
      <c r="DXU19" s="789"/>
      <c r="DXV19" s="1352"/>
      <c r="DYA19" s="789"/>
      <c r="DYB19" s="1352"/>
      <c r="DYG19" s="789"/>
      <c r="DYH19" s="1352"/>
      <c r="DYM19" s="789"/>
      <c r="DYN19" s="1352"/>
      <c r="DYS19" s="789"/>
      <c r="DYT19" s="1352"/>
      <c r="DYY19" s="789"/>
      <c r="DYZ19" s="1352"/>
      <c r="DZE19" s="789"/>
      <c r="DZF19" s="1352"/>
      <c r="DZK19" s="789"/>
      <c r="DZL19" s="1352"/>
      <c r="DZQ19" s="789"/>
      <c r="DZR19" s="1352"/>
      <c r="DZW19" s="789"/>
      <c r="DZX19" s="1352"/>
      <c r="EAC19" s="789"/>
      <c r="EAD19" s="1352"/>
      <c r="EAI19" s="789"/>
      <c r="EAJ19" s="1352"/>
      <c r="EAO19" s="789"/>
      <c r="EAP19" s="1352"/>
      <c r="EAU19" s="789"/>
      <c r="EAV19" s="1352"/>
      <c r="EBA19" s="789"/>
      <c r="EBB19" s="1352"/>
      <c r="EBG19" s="789"/>
      <c r="EBH19" s="1352"/>
      <c r="EBM19" s="789"/>
      <c r="EBN19" s="1352"/>
      <c r="EBS19" s="789"/>
      <c r="EBT19" s="1352"/>
      <c r="EBY19" s="789"/>
      <c r="EBZ19" s="1352"/>
      <c r="ECE19" s="789"/>
      <c r="ECF19" s="1352"/>
      <c r="ECK19" s="789"/>
      <c r="ECL19" s="1352"/>
      <c r="ECQ19" s="789"/>
      <c r="ECR19" s="1352"/>
      <c r="ECW19" s="789"/>
      <c r="ECX19" s="1352"/>
      <c r="EDC19" s="789"/>
      <c r="EDD19" s="1352"/>
      <c r="EDI19" s="789"/>
      <c r="EDJ19" s="1352"/>
      <c r="EDO19" s="789"/>
      <c r="EDP19" s="1352"/>
      <c r="EDU19" s="789"/>
      <c r="EDV19" s="1352"/>
      <c r="EEA19" s="789"/>
      <c r="EEB19" s="1352"/>
      <c r="EEG19" s="789"/>
      <c r="EEH19" s="1352"/>
      <c r="EEM19" s="789"/>
      <c r="EEN19" s="1352"/>
      <c r="EES19" s="789"/>
      <c r="EET19" s="1352"/>
      <c r="EEY19" s="789"/>
      <c r="EEZ19" s="1352"/>
      <c r="EFE19" s="789"/>
      <c r="EFF19" s="1352"/>
      <c r="EFK19" s="789"/>
      <c r="EFL19" s="1352"/>
      <c r="EFQ19" s="789"/>
      <c r="EFR19" s="1352"/>
      <c r="EFW19" s="789"/>
      <c r="EFX19" s="1352"/>
      <c r="EGC19" s="789"/>
      <c r="EGD19" s="1352"/>
      <c r="EGI19" s="789"/>
      <c r="EGJ19" s="1352"/>
      <c r="EGO19" s="789"/>
      <c r="EGP19" s="1352"/>
      <c r="EGU19" s="789"/>
      <c r="EGV19" s="1352"/>
      <c r="EHA19" s="789"/>
      <c r="EHB19" s="1352"/>
      <c r="EHG19" s="789"/>
      <c r="EHH19" s="1352"/>
      <c r="EHM19" s="789"/>
      <c r="EHN19" s="1352"/>
      <c r="EHS19" s="789"/>
      <c r="EHT19" s="1352"/>
      <c r="EHY19" s="789"/>
      <c r="EHZ19" s="1352"/>
      <c r="EIE19" s="789"/>
      <c r="EIF19" s="1352"/>
      <c r="EIK19" s="789"/>
      <c r="EIL19" s="1352"/>
      <c r="EIQ19" s="789"/>
      <c r="EIR19" s="1352"/>
      <c r="EIW19" s="789"/>
      <c r="EIX19" s="1352"/>
      <c r="EJC19" s="789"/>
      <c r="EJD19" s="1352"/>
      <c r="EJI19" s="789"/>
      <c r="EJJ19" s="1352"/>
      <c r="EJO19" s="789"/>
      <c r="EJP19" s="1352"/>
      <c r="EJU19" s="789"/>
      <c r="EJV19" s="1352"/>
      <c r="EKA19" s="789"/>
      <c r="EKB19" s="1352"/>
      <c r="EKG19" s="789"/>
      <c r="EKH19" s="1352"/>
      <c r="EKM19" s="789"/>
      <c r="EKN19" s="1352"/>
      <c r="EKS19" s="789"/>
      <c r="EKT19" s="1352"/>
      <c r="EKY19" s="789"/>
      <c r="EKZ19" s="1352"/>
      <c r="ELE19" s="789"/>
      <c r="ELF19" s="1352"/>
      <c r="ELK19" s="789"/>
      <c r="ELL19" s="1352"/>
      <c r="ELQ19" s="789"/>
      <c r="ELR19" s="1352"/>
      <c r="ELW19" s="789"/>
      <c r="ELX19" s="1352"/>
      <c r="EMC19" s="789"/>
      <c r="EMD19" s="1352"/>
      <c r="EMI19" s="789"/>
      <c r="EMJ19" s="1352"/>
      <c r="EMO19" s="789"/>
      <c r="EMP19" s="1352"/>
      <c r="EMU19" s="789"/>
      <c r="EMV19" s="1352"/>
      <c r="ENA19" s="789"/>
      <c r="ENB19" s="1352"/>
      <c r="ENG19" s="789"/>
      <c r="ENH19" s="1352"/>
      <c r="ENM19" s="789"/>
      <c r="ENN19" s="1352"/>
      <c r="ENS19" s="789"/>
      <c r="ENT19" s="1352"/>
      <c r="ENY19" s="789"/>
      <c r="ENZ19" s="1352"/>
      <c r="EOE19" s="789"/>
      <c r="EOF19" s="1352"/>
      <c r="EOK19" s="789"/>
      <c r="EOL19" s="1352"/>
      <c r="EOQ19" s="789"/>
      <c r="EOR19" s="1352"/>
      <c r="EOW19" s="789"/>
      <c r="EOX19" s="1352"/>
      <c r="EPC19" s="789"/>
      <c r="EPD19" s="1352"/>
      <c r="EPI19" s="789"/>
      <c r="EPJ19" s="1352"/>
      <c r="EPO19" s="789"/>
      <c r="EPP19" s="1352"/>
      <c r="EPU19" s="789"/>
      <c r="EPV19" s="1352"/>
      <c r="EQA19" s="789"/>
      <c r="EQB19" s="1352"/>
      <c r="EQG19" s="789"/>
      <c r="EQH19" s="1352"/>
      <c r="EQM19" s="789"/>
      <c r="EQN19" s="1352"/>
      <c r="EQS19" s="789"/>
      <c r="EQT19" s="1352"/>
      <c r="EQY19" s="789"/>
      <c r="EQZ19" s="1352"/>
      <c r="ERE19" s="789"/>
      <c r="ERF19" s="1352"/>
      <c r="ERK19" s="789"/>
      <c r="ERL19" s="1352"/>
      <c r="ERQ19" s="789"/>
      <c r="ERR19" s="1352"/>
      <c r="ERW19" s="789"/>
      <c r="ERX19" s="1352"/>
      <c r="ESC19" s="789"/>
      <c r="ESD19" s="1352"/>
      <c r="ESI19" s="789"/>
      <c r="ESJ19" s="1352"/>
      <c r="ESO19" s="789"/>
      <c r="ESP19" s="1352"/>
      <c r="ESU19" s="789"/>
      <c r="ESV19" s="1352"/>
      <c r="ETA19" s="789"/>
      <c r="ETB19" s="1352"/>
      <c r="ETG19" s="789"/>
      <c r="ETH19" s="1352"/>
      <c r="ETM19" s="789"/>
      <c r="ETN19" s="1352"/>
      <c r="ETS19" s="789"/>
      <c r="ETT19" s="1352"/>
      <c r="ETY19" s="789"/>
      <c r="ETZ19" s="1352"/>
      <c r="EUE19" s="789"/>
      <c r="EUF19" s="1352"/>
      <c r="EUK19" s="789"/>
      <c r="EUL19" s="1352"/>
      <c r="EUQ19" s="789"/>
      <c r="EUR19" s="1352"/>
      <c r="EUW19" s="789"/>
      <c r="EUX19" s="1352"/>
      <c r="EVC19" s="789"/>
      <c r="EVD19" s="1352"/>
      <c r="EVI19" s="789"/>
      <c r="EVJ19" s="1352"/>
      <c r="EVO19" s="789"/>
      <c r="EVP19" s="1352"/>
      <c r="EVU19" s="789"/>
      <c r="EVV19" s="1352"/>
      <c r="EWA19" s="789"/>
      <c r="EWB19" s="1352"/>
      <c r="EWG19" s="789"/>
      <c r="EWH19" s="1352"/>
      <c r="EWM19" s="789"/>
      <c r="EWN19" s="1352"/>
      <c r="EWS19" s="789"/>
      <c r="EWT19" s="1352"/>
      <c r="EWY19" s="789"/>
      <c r="EWZ19" s="1352"/>
      <c r="EXE19" s="789"/>
      <c r="EXF19" s="1352"/>
      <c r="EXK19" s="789"/>
      <c r="EXL19" s="1352"/>
      <c r="EXQ19" s="789"/>
      <c r="EXR19" s="1352"/>
      <c r="EXW19" s="789"/>
      <c r="EXX19" s="1352"/>
      <c r="EYC19" s="789"/>
      <c r="EYD19" s="1352"/>
      <c r="EYI19" s="789"/>
      <c r="EYJ19" s="1352"/>
      <c r="EYO19" s="789"/>
      <c r="EYP19" s="1352"/>
      <c r="EYU19" s="789"/>
      <c r="EYV19" s="1352"/>
      <c r="EZA19" s="789"/>
      <c r="EZB19" s="1352"/>
      <c r="EZG19" s="789"/>
      <c r="EZH19" s="1352"/>
      <c r="EZM19" s="789"/>
      <c r="EZN19" s="1352"/>
      <c r="EZS19" s="789"/>
      <c r="EZT19" s="1352"/>
      <c r="EZY19" s="789"/>
      <c r="EZZ19" s="1352"/>
      <c r="FAE19" s="789"/>
      <c r="FAF19" s="1352"/>
      <c r="FAK19" s="789"/>
      <c r="FAL19" s="1352"/>
      <c r="FAQ19" s="789"/>
      <c r="FAR19" s="1352"/>
      <c r="FAW19" s="789"/>
      <c r="FAX19" s="1352"/>
      <c r="FBC19" s="789"/>
      <c r="FBD19" s="1352"/>
      <c r="FBI19" s="789"/>
      <c r="FBJ19" s="1352"/>
      <c r="FBO19" s="789"/>
      <c r="FBP19" s="1352"/>
      <c r="FBU19" s="789"/>
      <c r="FBV19" s="1352"/>
      <c r="FCA19" s="789"/>
      <c r="FCB19" s="1352"/>
      <c r="FCG19" s="789"/>
      <c r="FCH19" s="1352"/>
      <c r="FCM19" s="789"/>
      <c r="FCN19" s="1352"/>
      <c r="FCS19" s="789"/>
      <c r="FCT19" s="1352"/>
      <c r="FCY19" s="789"/>
      <c r="FCZ19" s="1352"/>
      <c r="FDE19" s="789"/>
      <c r="FDF19" s="1352"/>
      <c r="FDK19" s="789"/>
      <c r="FDL19" s="1352"/>
      <c r="FDQ19" s="789"/>
      <c r="FDR19" s="1352"/>
      <c r="FDW19" s="789"/>
      <c r="FDX19" s="1352"/>
      <c r="FEC19" s="789"/>
      <c r="FED19" s="1352"/>
      <c r="FEI19" s="789"/>
      <c r="FEJ19" s="1352"/>
      <c r="FEO19" s="789"/>
      <c r="FEP19" s="1352"/>
      <c r="FEU19" s="789"/>
      <c r="FEV19" s="1352"/>
      <c r="FFA19" s="789"/>
      <c r="FFB19" s="1352"/>
      <c r="FFG19" s="789"/>
      <c r="FFH19" s="1352"/>
      <c r="FFM19" s="789"/>
      <c r="FFN19" s="1352"/>
      <c r="FFS19" s="789"/>
      <c r="FFT19" s="1352"/>
      <c r="FFY19" s="789"/>
      <c r="FFZ19" s="1352"/>
      <c r="FGE19" s="789"/>
      <c r="FGF19" s="1352"/>
      <c r="FGK19" s="789"/>
      <c r="FGL19" s="1352"/>
      <c r="FGQ19" s="789"/>
      <c r="FGR19" s="1352"/>
      <c r="FGW19" s="789"/>
      <c r="FGX19" s="1352"/>
      <c r="FHC19" s="789"/>
      <c r="FHD19" s="1352"/>
      <c r="FHI19" s="789"/>
      <c r="FHJ19" s="1352"/>
      <c r="FHO19" s="789"/>
      <c r="FHP19" s="1352"/>
      <c r="FHU19" s="789"/>
      <c r="FHV19" s="1352"/>
      <c r="FIA19" s="789"/>
      <c r="FIB19" s="1352"/>
      <c r="FIG19" s="789"/>
      <c r="FIH19" s="1352"/>
      <c r="FIM19" s="789"/>
      <c r="FIN19" s="1352"/>
      <c r="FIS19" s="789"/>
      <c r="FIT19" s="1352"/>
      <c r="FIY19" s="789"/>
      <c r="FIZ19" s="1352"/>
      <c r="FJE19" s="789"/>
      <c r="FJF19" s="1352"/>
      <c r="FJK19" s="789"/>
      <c r="FJL19" s="1352"/>
      <c r="FJQ19" s="789"/>
      <c r="FJR19" s="1352"/>
      <c r="FJW19" s="789"/>
      <c r="FJX19" s="1352"/>
      <c r="FKC19" s="789"/>
      <c r="FKD19" s="1352"/>
      <c r="FKI19" s="789"/>
      <c r="FKJ19" s="1352"/>
      <c r="FKO19" s="789"/>
      <c r="FKP19" s="1352"/>
      <c r="FKU19" s="789"/>
      <c r="FKV19" s="1352"/>
      <c r="FLA19" s="789"/>
      <c r="FLB19" s="1352"/>
      <c r="FLG19" s="789"/>
      <c r="FLH19" s="1352"/>
      <c r="FLM19" s="789"/>
      <c r="FLN19" s="1352"/>
      <c r="FLS19" s="789"/>
      <c r="FLT19" s="1352"/>
      <c r="FLY19" s="789"/>
      <c r="FLZ19" s="1352"/>
      <c r="FME19" s="789"/>
      <c r="FMF19" s="1352"/>
      <c r="FMK19" s="789"/>
      <c r="FML19" s="1352"/>
      <c r="FMQ19" s="789"/>
      <c r="FMR19" s="1352"/>
      <c r="FMW19" s="789"/>
      <c r="FMX19" s="1352"/>
      <c r="FNC19" s="789"/>
      <c r="FND19" s="1352"/>
      <c r="FNI19" s="789"/>
      <c r="FNJ19" s="1352"/>
      <c r="FNO19" s="789"/>
      <c r="FNP19" s="1352"/>
      <c r="FNU19" s="789"/>
      <c r="FNV19" s="1352"/>
      <c r="FOA19" s="789"/>
      <c r="FOB19" s="1352"/>
      <c r="FOG19" s="789"/>
      <c r="FOH19" s="1352"/>
      <c r="FOM19" s="789"/>
      <c r="FON19" s="1352"/>
      <c r="FOS19" s="789"/>
      <c r="FOT19" s="1352"/>
      <c r="FOY19" s="789"/>
      <c r="FOZ19" s="1352"/>
      <c r="FPE19" s="789"/>
      <c r="FPF19" s="1352"/>
      <c r="FPK19" s="789"/>
      <c r="FPL19" s="1352"/>
      <c r="FPQ19" s="789"/>
      <c r="FPR19" s="1352"/>
      <c r="FPW19" s="789"/>
      <c r="FPX19" s="1352"/>
      <c r="FQC19" s="789"/>
      <c r="FQD19" s="1352"/>
      <c r="FQI19" s="789"/>
      <c r="FQJ19" s="1352"/>
      <c r="FQO19" s="789"/>
      <c r="FQP19" s="1352"/>
      <c r="FQU19" s="789"/>
      <c r="FQV19" s="1352"/>
      <c r="FRA19" s="789"/>
      <c r="FRB19" s="1352"/>
      <c r="FRG19" s="789"/>
      <c r="FRH19" s="1352"/>
      <c r="FRM19" s="789"/>
      <c r="FRN19" s="1352"/>
      <c r="FRS19" s="789"/>
      <c r="FRT19" s="1352"/>
      <c r="FRY19" s="789"/>
      <c r="FRZ19" s="1352"/>
      <c r="FSE19" s="789"/>
      <c r="FSF19" s="1352"/>
      <c r="FSK19" s="789"/>
      <c r="FSL19" s="1352"/>
      <c r="FSQ19" s="789"/>
      <c r="FSR19" s="1352"/>
      <c r="FSW19" s="789"/>
      <c r="FSX19" s="1352"/>
      <c r="FTC19" s="789"/>
      <c r="FTD19" s="1352"/>
      <c r="FTI19" s="789"/>
      <c r="FTJ19" s="1352"/>
      <c r="FTO19" s="789"/>
      <c r="FTP19" s="1352"/>
      <c r="FTU19" s="789"/>
      <c r="FTV19" s="1352"/>
      <c r="FUA19" s="789"/>
      <c r="FUB19" s="1352"/>
      <c r="FUG19" s="789"/>
      <c r="FUH19" s="1352"/>
      <c r="FUM19" s="789"/>
      <c r="FUN19" s="1352"/>
      <c r="FUS19" s="789"/>
      <c r="FUT19" s="1352"/>
      <c r="FUY19" s="789"/>
      <c r="FUZ19" s="1352"/>
      <c r="FVE19" s="789"/>
      <c r="FVF19" s="1352"/>
      <c r="FVK19" s="789"/>
      <c r="FVL19" s="1352"/>
      <c r="FVQ19" s="789"/>
      <c r="FVR19" s="1352"/>
      <c r="FVW19" s="789"/>
      <c r="FVX19" s="1352"/>
      <c r="FWC19" s="789"/>
      <c r="FWD19" s="1352"/>
      <c r="FWI19" s="789"/>
      <c r="FWJ19" s="1352"/>
      <c r="FWO19" s="789"/>
      <c r="FWP19" s="1352"/>
      <c r="FWU19" s="789"/>
      <c r="FWV19" s="1352"/>
      <c r="FXA19" s="789"/>
      <c r="FXB19" s="1352"/>
      <c r="FXG19" s="789"/>
      <c r="FXH19" s="1352"/>
      <c r="FXM19" s="789"/>
      <c r="FXN19" s="1352"/>
      <c r="FXS19" s="789"/>
      <c r="FXT19" s="1352"/>
      <c r="FXY19" s="789"/>
      <c r="FXZ19" s="1352"/>
      <c r="FYE19" s="789"/>
      <c r="FYF19" s="1352"/>
      <c r="FYK19" s="789"/>
      <c r="FYL19" s="1352"/>
      <c r="FYQ19" s="789"/>
      <c r="FYR19" s="1352"/>
      <c r="FYW19" s="789"/>
      <c r="FYX19" s="1352"/>
      <c r="FZC19" s="789"/>
      <c r="FZD19" s="1352"/>
      <c r="FZI19" s="789"/>
      <c r="FZJ19" s="1352"/>
      <c r="FZO19" s="789"/>
      <c r="FZP19" s="1352"/>
      <c r="FZU19" s="789"/>
      <c r="FZV19" s="1352"/>
      <c r="GAA19" s="789"/>
      <c r="GAB19" s="1352"/>
      <c r="GAG19" s="789"/>
      <c r="GAH19" s="1352"/>
      <c r="GAM19" s="789"/>
      <c r="GAN19" s="1352"/>
      <c r="GAS19" s="789"/>
      <c r="GAT19" s="1352"/>
      <c r="GAY19" s="789"/>
      <c r="GAZ19" s="1352"/>
      <c r="GBE19" s="789"/>
      <c r="GBF19" s="1352"/>
      <c r="GBK19" s="789"/>
      <c r="GBL19" s="1352"/>
      <c r="GBQ19" s="789"/>
      <c r="GBR19" s="1352"/>
      <c r="GBW19" s="789"/>
      <c r="GBX19" s="1352"/>
      <c r="GCC19" s="789"/>
      <c r="GCD19" s="1352"/>
      <c r="GCI19" s="789"/>
      <c r="GCJ19" s="1352"/>
      <c r="GCO19" s="789"/>
      <c r="GCP19" s="1352"/>
      <c r="GCU19" s="789"/>
      <c r="GCV19" s="1352"/>
      <c r="GDA19" s="789"/>
      <c r="GDB19" s="1352"/>
      <c r="GDG19" s="789"/>
      <c r="GDH19" s="1352"/>
      <c r="GDM19" s="789"/>
      <c r="GDN19" s="1352"/>
      <c r="GDS19" s="789"/>
      <c r="GDT19" s="1352"/>
      <c r="GDY19" s="789"/>
      <c r="GDZ19" s="1352"/>
      <c r="GEE19" s="789"/>
      <c r="GEF19" s="1352"/>
      <c r="GEK19" s="789"/>
      <c r="GEL19" s="1352"/>
      <c r="GEQ19" s="789"/>
      <c r="GER19" s="1352"/>
      <c r="GEW19" s="789"/>
      <c r="GEX19" s="1352"/>
      <c r="GFC19" s="789"/>
      <c r="GFD19" s="1352"/>
      <c r="GFI19" s="789"/>
      <c r="GFJ19" s="1352"/>
      <c r="GFO19" s="789"/>
      <c r="GFP19" s="1352"/>
      <c r="GFU19" s="789"/>
      <c r="GFV19" s="1352"/>
      <c r="GGA19" s="789"/>
      <c r="GGB19" s="1352"/>
      <c r="GGG19" s="789"/>
      <c r="GGH19" s="1352"/>
      <c r="GGM19" s="789"/>
      <c r="GGN19" s="1352"/>
      <c r="GGS19" s="789"/>
      <c r="GGT19" s="1352"/>
      <c r="GGY19" s="789"/>
      <c r="GGZ19" s="1352"/>
      <c r="GHE19" s="789"/>
      <c r="GHF19" s="1352"/>
      <c r="GHK19" s="789"/>
      <c r="GHL19" s="1352"/>
      <c r="GHQ19" s="789"/>
      <c r="GHR19" s="1352"/>
      <c r="GHW19" s="789"/>
      <c r="GHX19" s="1352"/>
      <c r="GIC19" s="789"/>
      <c r="GID19" s="1352"/>
      <c r="GII19" s="789"/>
      <c r="GIJ19" s="1352"/>
      <c r="GIO19" s="789"/>
      <c r="GIP19" s="1352"/>
      <c r="GIU19" s="789"/>
      <c r="GIV19" s="1352"/>
      <c r="GJA19" s="789"/>
      <c r="GJB19" s="1352"/>
      <c r="GJG19" s="789"/>
      <c r="GJH19" s="1352"/>
      <c r="GJM19" s="789"/>
      <c r="GJN19" s="1352"/>
      <c r="GJS19" s="789"/>
      <c r="GJT19" s="1352"/>
      <c r="GJY19" s="789"/>
      <c r="GJZ19" s="1352"/>
      <c r="GKE19" s="789"/>
      <c r="GKF19" s="1352"/>
      <c r="GKK19" s="789"/>
      <c r="GKL19" s="1352"/>
      <c r="GKQ19" s="789"/>
      <c r="GKR19" s="1352"/>
      <c r="GKW19" s="789"/>
      <c r="GKX19" s="1352"/>
      <c r="GLC19" s="789"/>
      <c r="GLD19" s="1352"/>
      <c r="GLI19" s="789"/>
      <c r="GLJ19" s="1352"/>
      <c r="GLO19" s="789"/>
      <c r="GLP19" s="1352"/>
      <c r="GLU19" s="789"/>
      <c r="GLV19" s="1352"/>
      <c r="GMA19" s="789"/>
      <c r="GMB19" s="1352"/>
      <c r="GMG19" s="789"/>
      <c r="GMH19" s="1352"/>
      <c r="GMM19" s="789"/>
      <c r="GMN19" s="1352"/>
      <c r="GMS19" s="789"/>
      <c r="GMT19" s="1352"/>
      <c r="GMY19" s="789"/>
      <c r="GMZ19" s="1352"/>
      <c r="GNE19" s="789"/>
      <c r="GNF19" s="1352"/>
      <c r="GNK19" s="789"/>
      <c r="GNL19" s="1352"/>
      <c r="GNQ19" s="789"/>
      <c r="GNR19" s="1352"/>
      <c r="GNW19" s="789"/>
      <c r="GNX19" s="1352"/>
      <c r="GOC19" s="789"/>
      <c r="GOD19" s="1352"/>
      <c r="GOI19" s="789"/>
      <c r="GOJ19" s="1352"/>
      <c r="GOO19" s="789"/>
      <c r="GOP19" s="1352"/>
      <c r="GOU19" s="789"/>
      <c r="GOV19" s="1352"/>
      <c r="GPA19" s="789"/>
      <c r="GPB19" s="1352"/>
      <c r="GPG19" s="789"/>
      <c r="GPH19" s="1352"/>
      <c r="GPM19" s="789"/>
      <c r="GPN19" s="1352"/>
      <c r="GPS19" s="789"/>
      <c r="GPT19" s="1352"/>
      <c r="GPY19" s="789"/>
      <c r="GPZ19" s="1352"/>
      <c r="GQE19" s="789"/>
      <c r="GQF19" s="1352"/>
      <c r="GQK19" s="789"/>
      <c r="GQL19" s="1352"/>
      <c r="GQQ19" s="789"/>
      <c r="GQR19" s="1352"/>
      <c r="GQW19" s="789"/>
      <c r="GQX19" s="1352"/>
      <c r="GRC19" s="789"/>
      <c r="GRD19" s="1352"/>
      <c r="GRI19" s="789"/>
      <c r="GRJ19" s="1352"/>
      <c r="GRO19" s="789"/>
      <c r="GRP19" s="1352"/>
      <c r="GRU19" s="789"/>
      <c r="GRV19" s="1352"/>
      <c r="GSA19" s="789"/>
      <c r="GSB19" s="1352"/>
      <c r="GSG19" s="789"/>
      <c r="GSH19" s="1352"/>
      <c r="GSM19" s="789"/>
      <c r="GSN19" s="1352"/>
      <c r="GSS19" s="789"/>
      <c r="GST19" s="1352"/>
      <c r="GSY19" s="789"/>
      <c r="GSZ19" s="1352"/>
      <c r="GTE19" s="789"/>
      <c r="GTF19" s="1352"/>
      <c r="GTK19" s="789"/>
      <c r="GTL19" s="1352"/>
      <c r="GTQ19" s="789"/>
      <c r="GTR19" s="1352"/>
      <c r="GTW19" s="789"/>
      <c r="GTX19" s="1352"/>
      <c r="GUC19" s="789"/>
      <c r="GUD19" s="1352"/>
      <c r="GUI19" s="789"/>
      <c r="GUJ19" s="1352"/>
      <c r="GUO19" s="789"/>
      <c r="GUP19" s="1352"/>
      <c r="GUU19" s="789"/>
      <c r="GUV19" s="1352"/>
      <c r="GVA19" s="789"/>
      <c r="GVB19" s="1352"/>
      <c r="GVG19" s="789"/>
      <c r="GVH19" s="1352"/>
      <c r="GVM19" s="789"/>
      <c r="GVN19" s="1352"/>
      <c r="GVS19" s="789"/>
      <c r="GVT19" s="1352"/>
      <c r="GVY19" s="789"/>
      <c r="GVZ19" s="1352"/>
      <c r="GWE19" s="789"/>
      <c r="GWF19" s="1352"/>
      <c r="GWK19" s="789"/>
      <c r="GWL19" s="1352"/>
      <c r="GWQ19" s="789"/>
      <c r="GWR19" s="1352"/>
      <c r="GWW19" s="789"/>
      <c r="GWX19" s="1352"/>
      <c r="GXC19" s="789"/>
      <c r="GXD19" s="1352"/>
      <c r="GXI19" s="789"/>
      <c r="GXJ19" s="1352"/>
      <c r="GXO19" s="789"/>
      <c r="GXP19" s="1352"/>
      <c r="GXU19" s="789"/>
      <c r="GXV19" s="1352"/>
      <c r="GYA19" s="789"/>
      <c r="GYB19" s="1352"/>
      <c r="GYG19" s="789"/>
      <c r="GYH19" s="1352"/>
      <c r="GYM19" s="789"/>
      <c r="GYN19" s="1352"/>
      <c r="GYS19" s="789"/>
      <c r="GYT19" s="1352"/>
      <c r="GYY19" s="789"/>
      <c r="GYZ19" s="1352"/>
      <c r="GZE19" s="789"/>
      <c r="GZF19" s="1352"/>
      <c r="GZK19" s="789"/>
      <c r="GZL19" s="1352"/>
      <c r="GZQ19" s="789"/>
      <c r="GZR19" s="1352"/>
      <c r="GZW19" s="789"/>
      <c r="GZX19" s="1352"/>
      <c r="HAC19" s="789"/>
      <c r="HAD19" s="1352"/>
      <c r="HAI19" s="789"/>
      <c r="HAJ19" s="1352"/>
      <c r="HAO19" s="789"/>
      <c r="HAP19" s="1352"/>
      <c r="HAU19" s="789"/>
      <c r="HAV19" s="1352"/>
      <c r="HBA19" s="789"/>
      <c r="HBB19" s="1352"/>
      <c r="HBG19" s="789"/>
      <c r="HBH19" s="1352"/>
      <c r="HBM19" s="789"/>
      <c r="HBN19" s="1352"/>
      <c r="HBS19" s="789"/>
      <c r="HBT19" s="1352"/>
      <c r="HBY19" s="789"/>
      <c r="HBZ19" s="1352"/>
      <c r="HCE19" s="789"/>
      <c r="HCF19" s="1352"/>
      <c r="HCK19" s="789"/>
      <c r="HCL19" s="1352"/>
      <c r="HCQ19" s="789"/>
      <c r="HCR19" s="1352"/>
      <c r="HCW19" s="789"/>
      <c r="HCX19" s="1352"/>
      <c r="HDC19" s="789"/>
      <c r="HDD19" s="1352"/>
      <c r="HDI19" s="789"/>
      <c r="HDJ19" s="1352"/>
      <c r="HDO19" s="789"/>
      <c r="HDP19" s="1352"/>
      <c r="HDU19" s="789"/>
      <c r="HDV19" s="1352"/>
      <c r="HEA19" s="789"/>
      <c r="HEB19" s="1352"/>
      <c r="HEG19" s="789"/>
      <c r="HEH19" s="1352"/>
      <c r="HEM19" s="789"/>
      <c r="HEN19" s="1352"/>
      <c r="HES19" s="789"/>
      <c r="HET19" s="1352"/>
      <c r="HEY19" s="789"/>
      <c r="HEZ19" s="1352"/>
      <c r="HFE19" s="789"/>
      <c r="HFF19" s="1352"/>
      <c r="HFK19" s="789"/>
      <c r="HFL19" s="1352"/>
      <c r="HFQ19" s="789"/>
      <c r="HFR19" s="1352"/>
      <c r="HFW19" s="789"/>
      <c r="HFX19" s="1352"/>
      <c r="HGC19" s="789"/>
      <c r="HGD19" s="1352"/>
      <c r="HGI19" s="789"/>
      <c r="HGJ19" s="1352"/>
      <c r="HGO19" s="789"/>
      <c r="HGP19" s="1352"/>
      <c r="HGU19" s="789"/>
      <c r="HGV19" s="1352"/>
      <c r="HHA19" s="789"/>
      <c r="HHB19" s="1352"/>
      <c r="HHG19" s="789"/>
      <c r="HHH19" s="1352"/>
      <c r="HHM19" s="789"/>
      <c r="HHN19" s="1352"/>
      <c r="HHS19" s="789"/>
      <c r="HHT19" s="1352"/>
      <c r="HHY19" s="789"/>
      <c r="HHZ19" s="1352"/>
      <c r="HIE19" s="789"/>
      <c r="HIF19" s="1352"/>
      <c r="HIK19" s="789"/>
      <c r="HIL19" s="1352"/>
      <c r="HIQ19" s="789"/>
      <c r="HIR19" s="1352"/>
      <c r="HIW19" s="789"/>
      <c r="HIX19" s="1352"/>
      <c r="HJC19" s="789"/>
      <c r="HJD19" s="1352"/>
      <c r="HJI19" s="789"/>
      <c r="HJJ19" s="1352"/>
      <c r="HJO19" s="789"/>
      <c r="HJP19" s="1352"/>
      <c r="HJU19" s="789"/>
      <c r="HJV19" s="1352"/>
      <c r="HKA19" s="789"/>
      <c r="HKB19" s="1352"/>
      <c r="HKG19" s="789"/>
      <c r="HKH19" s="1352"/>
      <c r="HKM19" s="789"/>
      <c r="HKN19" s="1352"/>
      <c r="HKS19" s="789"/>
      <c r="HKT19" s="1352"/>
      <c r="HKY19" s="789"/>
      <c r="HKZ19" s="1352"/>
      <c r="HLE19" s="789"/>
      <c r="HLF19" s="1352"/>
      <c r="HLK19" s="789"/>
      <c r="HLL19" s="1352"/>
      <c r="HLQ19" s="789"/>
      <c r="HLR19" s="1352"/>
      <c r="HLW19" s="789"/>
      <c r="HLX19" s="1352"/>
      <c r="HMC19" s="789"/>
      <c r="HMD19" s="1352"/>
      <c r="HMI19" s="789"/>
      <c r="HMJ19" s="1352"/>
      <c r="HMO19" s="789"/>
      <c r="HMP19" s="1352"/>
      <c r="HMU19" s="789"/>
      <c r="HMV19" s="1352"/>
      <c r="HNA19" s="789"/>
      <c r="HNB19" s="1352"/>
      <c r="HNG19" s="789"/>
      <c r="HNH19" s="1352"/>
      <c r="HNM19" s="789"/>
      <c r="HNN19" s="1352"/>
      <c r="HNS19" s="789"/>
      <c r="HNT19" s="1352"/>
      <c r="HNY19" s="789"/>
      <c r="HNZ19" s="1352"/>
      <c r="HOE19" s="789"/>
      <c r="HOF19" s="1352"/>
      <c r="HOK19" s="789"/>
      <c r="HOL19" s="1352"/>
      <c r="HOQ19" s="789"/>
      <c r="HOR19" s="1352"/>
      <c r="HOW19" s="789"/>
      <c r="HOX19" s="1352"/>
      <c r="HPC19" s="789"/>
      <c r="HPD19" s="1352"/>
      <c r="HPI19" s="789"/>
      <c r="HPJ19" s="1352"/>
      <c r="HPO19" s="789"/>
      <c r="HPP19" s="1352"/>
      <c r="HPU19" s="789"/>
      <c r="HPV19" s="1352"/>
      <c r="HQA19" s="789"/>
      <c r="HQB19" s="1352"/>
      <c r="HQG19" s="789"/>
      <c r="HQH19" s="1352"/>
      <c r="HQM19" s="789"/>
      <c r="HQN19" s="1352"/>
      <c r="HQS19" s="789"/>
      <c r="HQT19" s="1352"/>
      <c r="HQY19" s="789"/>
      <c r="HQZ19" s="1352"/>
      <c r="HRE19" s="789"/>
      <c r="HRF19" s="1352"/>
      <c r="HRK19" s="789"/>
      <c r="HRL19" s="1352"/>
      <c r="HRQ19" s="789"/>
      <c r="HRR19" s="1352"/>
      <c r="HRW19" s="789"/>
      <c r="HRX19" s="1352"/>
      <c r="HSC19" s="789"/>
      <c r="HSD19" s="1352"/>
      <c r="HSI19" s="789"/>
      <c r="HSJ19" s="1352"/>
      <c r="HSO19" s="789"/>
      <c r="HSP19" s="1352"/>
      <c r="HSU19" s="789"/>
      <c r="HSV19" s="1352"/>
      <c r="HTA19" s="789"/>
      <c r="HTB19" s="1352"/>
      <c r="HTG19" s="789"/>
      <c r="HTH19" s="1352"/>
      <c r="HTM19" s="789"/>
      <c r="HTN19" s="1352"/>
      <c r="HTS19" s="789"/>
      <c r="HTT19" s="1352"/>
      <c r="HTY19" s="789"/>
      <c r="HTZ19" s="1352"/>
      <c r="HUE19" s="789"/>
      <c r="HUF19" s="1352"/>
      <c r="HUK19" s="789"/>
      <c r="HUL19" s="1352"/>
      <c r="HUQ19" s="789"/>
      <c r="HUR19" s="1352"/>
      <c r="HUW19" s="789"/>
      <c r="HUX19" s="1352"/>
      <c r="HVC19" s="789"/>
      <c r="HVD19" s="1352"/>
      <c r="HVI19" s="789"/>
      <c r="HVJ19" s="1352"/>
      <c r="HVO19" s="789"/>
      <c r="HVP19" s="1352"/>
      <c r="HVU19" s="789"/>
      <c r="HVV19" s="1352"/>
      <c r="HWA19" s="789"/>
      <c r="HWB19" s="1352"/>
      <c r="HWG19" s="789"/>
      <c r="HWH19" s="1352"/>
      <c r="HWM19" s="789"/>
      <c r="HWN19" s="1352"/>
      <c r="HWS19" s="789"/>
      <c r="HWT19" s="1352"/>
      <c r="HWY19" s="789"/>
      <c r="HWZ19" s="1352"/>
      <c r="HXE19" s="789"/>
      <c r="HXF19" s="1352"/>
      <c r="HXK19" s="789"/>
      <c r="HXL19" s="1352"/>
      <c r="HXQ19" s="789"/>
      <c r="HXR19" s="1352"/>
      <c r="HXW19" s="789"/>
      <c r="HXX19" s="1352"/>
      <c r="HYC19" s="789"/>
      <c r="HYD19" s="1352"/>
      <c r="HYI19" s="789"/>
      <c r="HYJ19" s="1352"/>
      <c r="HYO19" s="789"/>
      <c r="HYP19" s="1352"/>
      <c r="HYU19" s="789"/>
      <c r="HYV19" s="1352"/>
      <c r="HZA19" s="789"/>
      <c r="HZB19" s="1352"/>
      <c r="HZG19" s="789"/>
      <c r="HZH19" s="1352"/>
      <c r="HZM19" s="789"/>
      <c r="HZN19" s="1352"/>
      <c r="HZS19" s="789"/>
      <c r="HZT19" s="1352"/>
      <c r="HZY19" s="789"/>
      <c r="HZZ19" s="1352"/>
      <c r="IAE19" s="789"/>
      <c r="IAF19" s="1352"/>
      <c r="IAK19" s="789"/>
      <c r="IAL19" s="1352"/>
      <c r="IAQ19" s="789"/>
      <c r="IAR19" s="1352"/>
      <c r="IAW19" s="789"/>
      <c r="IAX19" s="1352"/>
      <c r="IBC19" s="789"/>
      <c r="IBD19" s="1352"/>
      <c r="IBI19" s="789"/>
      <c r="IBJ19" s="1352"/>
      <c r="IBO19" s="789"/>
      <c r="IBP19" s="1352"/>
      <c r="IBU19" s="789"/>
      <c r="IBV19" s="1352"/>
      <c r="ICA19" s="789"/>
      <c r="ICB19" s="1352"/>
      <c r="ICG19" s="789"/>
      <c r="ICH19" s="1352"/>
      <c r="ICM19" s="789"/>
      <c r="ICN19" s="1352"/>
      <c r="ICS19" s="789"/>
      <c r="ICT19" s="1352"/>
      <c r="ICY19" s="789"/>
      <c r="ICZ19" s="1352"/>
      <c r="IDE19" s="789"/>
      <c r="IDF19" s="1352"/>
      <c r="IDK19" s="789"/>
      <c r="IDL19" s="1352"/>
      <c r="IDQ19" s="789"/>
      <c r="IDR19" s="1352"/>
      <c r="IDW19" s="789"/>
      <c r="IDX19" s="1352"/>
      <c r="IEC19" s="789"/>
      <c r="IED19" s="1352"/>
      <c r="IEI19" s="789"/>
      <c r="IEJ19" s="1352"/>
      <c r="IEO19" s="789"/>
      <c r="IEP19" s="1352"/>
      <c r="IEU19" s="789"/>
      <c r="IEV19" s="1352"/>
      <c r="IFA19" s="789"/>
      <c r="IFB19" s="1352"/>
      <c r="IFG19" s="789"/>
      <c r="IFH19" s="1352"/>
      <c r="IFM19" s="789"/>
      <c r="IFN19" s="1352"/>
      <c r="IFS19" s="789"/>
      <c r="IFT19" s="1352"/>
      <c r="IFY19" s="789"/>
      <c r="IFZ19" s="1352"/>
      <c r="IGE19" s="789"/>
      <c r="IGF19" s="1352"/>
      <c r="IGK19" s="789"/>
      <c r="IGL19" s="1352"/>
      <c r="IGQ19" s="789"/>
      <c r="IGR19" s="1352"/>
      <c r="IGW19" s="789"/>
      <c r="IGX19" s="1352"/>
      <c r="IHC19" s="789"/>
      <c r="IHD19" s="1352"/>
      <c r="IHI19" s="789"/>
      <c r="IHJ19" s="1352"/>
      <c r="IHO19" s="789"/>
      <c r="IHP19" s="1352"/>
      <c r="IHU19" s="789"/>
      <c r="IHV19" s="1352"/>
      <c r="IIA19" s="789"/>
      <c r="IIB19" s="1352"/>
      <c r="IIG19" s="789"/>
      <c r="IIH19" s="1352"/>
      <c r="IIM19" s="789"/>
      <c r="IIN19" s="1352"/>
      <c r="IIS19" s="789"/>
      <c r="IIT19" s="1352"/>
      <c r="IIY19" s="789"/>
      <c r="IIZ19" s="1352"/>
      <c r="IJE19" s="789"/>
      <c r="IJF19" s="1352"/>
      <c r="IJK19" s="789"/>
      <c r="IJL19" s="1352"/>
      <c r="IJQ19" s="789"/>
      <c r="IJR19" s="1352"/>
      <c r="IJW19" s="789"/>
      <c r="IJX19" s="1352"/>
      <c r="IKC19" s="789"/>
      <c r="IKD19" s="1352"/>
      <c r="IKI19" s="789"/>
      <c r="IKJ19" s="1352"/>
      <c r="IKO19" s="789"/>
      <c r="IKP19" s="1352"/>
      <c r="IKU19" s="789"/>
      <c r="IKV19" s="1352"/>
      <c r="ILA19" s="789"/>
      <c r="ILB19" s="1352"/>
      <c r="ILG19" s="789"/>
      <c r="ILH19" s="1352"/>
      <c r="ILM19" s="789"/>
      <c r="ILN19" s="1352"/>
      <c r="ILS19" s="789"/>
      <c r="ILT19" s="1352"/>
      <c r="ILY19" s="789"/>
      <c r="ILZ19" s="1352"/>
      <c r="IME19" s="789"/>
      <c r="IMF19" s="1352"/>
      <c r="IMK19" s="789"/>
      <c r="IML19" s="1352"/>
      <c r="IMQ19" s="789"/>
      <c r="IMR19" s="1352"/>
      <c r="IMW19" s="789"/>
      <c r="IMX19" s="1352"/>
      <c r="INC19" s="789"/>
      <c r="IND19" s="1352"/>
      <c r="INI19" s="789"/>
      <c r="INJ19" s="1352"/>
      <c r="INO19" s="789"/>
      <c r="INP19" s="1352"/>
      <c r="INU19" s="789"/>
      <c r="INV19" s="1352"/>
      <c r="IOA19" s="789"/>
      <c r="IOB19" s="1352"/>
      <c r="IOG19" s="789"/>
      <c r="IOH19" s="1352"/>
      <c r="IOM19" s="789"/>
      <c r="ION19" s="1352"/>
      <c r="IOS19" s="789"/>
      <c r="IOT19" s="1352"/>
      <c r="IOY19" s="789"/>
      <c r="IOZ19" s="1352"/>
      <c r="IPE19" s="789"/>
      <c r="IPF19" s="1352"/>
      <c r="IPK19" s="789"/>
      <c r="IPL19" s="1352"/>
      <c r="IPQ19" s="789"/>
      <c r="IPR19" s="1352"/>
      <c r="IPW19" s="789"/>
      <c r="IPX19" s="1352"/>
      <c r="IQC19" s="789"/>
      <c r="IQD19" s="1352"/>
      <c r="IQI19" s="789"/>
      <c r="IQJ19" s="1352"/>
      <c r="IQO19" s="789"/>
      <c r="IQP19" s="1352"/>
      <c r="IQU19" s="789"/>
      <c r="IQV19" s="1352"/>
      <c r="IRA19" s="789"/>
      <c r="IRB19" s="1352"/>
      <c r="IRG19" s="789"/>
      <c r="IRH19" s="1352"/>
      <c r="IRM19" s="789"/>
      <c r="IRN19" s="1352"/>
      <c r="IRS19" s="789"/>
      <c r="IRT19" s="1352"/>
      <c r="IRY19" s="789"/>
      <c r="IRZ19" s="1352"/>
      <c r="ISE19" s="789"/>
      <c r="ISF19" s="1352"/>
      <c r="ISK19" s="789"/>
      <c r="ISL19" s="1352"/>
      <c r="ISQ19" s="789"/>
      <c r="ISR19" s="1352"/>
      <c r="ISW19" s="789"/>
      <c r="ISX19" s="1352"/>
      <c r="ITC19" s="789"/>
      <c r="ITD19" s="1352"/>
      <c r="ITI19" s="789"/>
      <c r="ITJ19" s="1352"/>
      <c r="ITO19" s="789"/>
      <c r="ITP19" s="1352"/>
      <c r="ITU19" s="789"/>
      <c r="ITV19" s="1352"/>
      <c r="IUA19" s="789"/>
      <c r="IUB19" s="1352"/>
      <c r="IUG19" s="789"/>
      <c r="IUH19" s="1352"/>
      <c r="IUM19" s="789"/>
      <c r="IUN19" s="1352"/>
      <c r="IUS19" s="789"/>
      <c r="IUT19" s="1352"/>
      <c r="IUY19" s="789"/>
      <c r="IUZ19" s="1352"/>
      <c r="IVE19" s="789"/>
      <c r="IVF19" s="1352"/>
      <c r="IVK19" s="789"/>
      <c r="IVL19" s="1352"/>
      <c r="IVQ19" s="789"/>
      <c r="IVR19" s="1352"/>
      <c r="IVW19" s="789"/>
      <c r="IVX19" s="1352"/>
      <c r="IWC19" s="789"/>
      <c r="IWD19" s="1352"/>
      <c r="IWI19" s="789"/>
      <c r="IWJ19" s="1352"/>
      <c r="IWO19" s="789"/>
      <c r="IWP19" s="1352"/>
      <c r="IWU19" s="789"/>
      <c r="IWV19" s="1352"/>
      <c r="IXA19" s="789"/>
      <c r="IXB19" s="1352"/>
      <c r="IXG19" s="789"/>
      <c r="IXH19" s="1352"/>
      <c r="IXM19" s="789"/>
      <c r="IXN19" s="1352"/>
      <c r="IXS19" s="789"/>
      <c r="IXT19" s="1352"/>
      <c r="IXY19" s="789"/>
      <c r="IXZ19" s="1352"/>
      <c r="IYE19" s="789"/>
      <c r="IYF19" s="1352"/>
      <c r="IYK19" s="789"/>
      <c r="IYL19" s="1352"/>
      <c r="IYQ19" s="789"/>
      <c r="IYR19" s="1352"/>
      <c r="IYW19" s="789"/>
      <c r="IYX19" s="1352"/>
      <c r="IZC19" s="789"/>
      <c r="IZD19" s="1352"/>
      <c r="IZI19" s="789"/>
      <c r="IZJ19" s="1352"/>
      <c r="IZO19" s="789"/>
      <c r="IZP19" s="1352"/>
      <c r="IZU19" s="789"/>
      <c r="IZV19" s="1352"/>
      <c r="JAA19" s="789"/>
      <c r="JAB19" s="1352"/>
      <c r="JAG19" s="789"/>
      <c r="JAH19" s="1352"/>
      <c r="JAM19" s="789"/>
      <c r="JAN19" s="1352"/>
      <c r="JAS19" s="789"/>
      <c r="JAT19" s="1352"/>
      <c r="JAY19" s="789"/>
      <c r="JAZ19" s="1352"/>
      <c r="JBE19" s="789"/>
      <c r="JBF19" s="1352"/>
      <c r="JBK19" s="789"/>
      <c r="JBL19" s="1352"/>
      <c r="JBQ19" s="789"/>
      <c r="JBR19" s="1352"/>
      <c r="JBW19" s="789"/>
      <c r="JBX19" s="1352"/>
      <c r="JCC19" s="789"/>
      <c r="JCD19" s="1352"/>
      <c r="JCI19" s="789"/>
      <c r="JCJ19" s="1352"/>
      <c r="JCO19" s="789"/>
      <c r="JCP19" s="1352"/>
      <c r="JCU19" s="789"/>
      <c r="JCV19" s="1352"/>
      <c r="JDA19" s="789"/>
      <c r="JDB19" s="1352"/>
      <c r="JDG19" s="789"/>
      <c r="JDH19" s="1352"/>
      <c r="JDM19" s="789"/>
      <c r="JDN19" s="1352"/>
      <c r="JDS19" s="789"/>
      <c r="JDT19" s="1352"/>
      <c r="JDY19" s="789"/>
      <c r="JDZ19" s="1352"/>
      <c r="JEE19" s="789"/>
      <c r="JEF19" s="1352"/>
      <c r="JEK19" s="789"/>
      <c r="JEL19" s="1352"/>
      <c r="JEQ19" s="789"/>
      <c r="JER19" s="1352"/>
      <c r="JEW19" s="789"/>
      <c r="JEX19" s="1352"/>
      <c r="JFC19" s="789"/>
      <c r="JFD19" s="1352"/>
      <c r="JFI19" s="789"/>
      <c r="JFJ19" s="1352"/>
      <c r="JFO19" s="789"/>
      <c r="JFP19" s="1352"/>
      <c r="JFU19" s="789"/>
      <c r="JFV19" s="1352"/>
      <c r="JGA19" s="789"/>
      <c r="JGB19" s="1352"/>
      <c r="JGG19" s="789"/>
      <c r="JGH19" s="1352"/>
      <c r="JGM19" s="789"/>
      <c r="JGN19" s="1352"/>
      <c r="JGS19" s="789"/>
      <c r="JGT19" s="1352"/>
      <c r="JGY19" s="789"/>
      <c r="JGZ19" s="1352"/>
      <c r="JHE19" s="789"/>
      <c r="JHF19" s="1352"/>
      <c r="JHK19" s="789"/>
      <c r="JHL19" s="1352"/>
      <c r="JHQ19" s="789"/>
      <c r="JHR19" s="1352"/>
      <c r="JHW19" s="789"/>
      <c r="JHX19" s="1352"/>
      <c r="JIC19" s="789"/>
      <c r="JID19" s="1352"/>
      <c r="JII19" s="789"/>
      <c r="JIJ19" s="1352"/>
      <c r="JIO19" s="789"/>
      <c r="JIP19" s="1352"/>
      <c r="JIU19" s="789"/>
      <c r="JIV19" s="1352"/>
      <c r="JJA19" s="789"/>
      <c r="JJB19" s="1352"/>
      <c r="JJG19" s="789"/>
      <c r="JJH19" s="1352"/>
      <c r="JJM19" s="789"/>
      <c r="JJN19" s="1352"/>
      <c r="JJS19" s="789"/>
      <c r="JJT19" s="1352"/>
      <c r="JJY19" s="789"/>
      <c r="JJZ19" s="1352"/>
      <c r="JKE19" s="789"/>
      <c r="JKF19" s="1352"/>
      <c r="JKK19" s="789"/>
      <c r="JKL19" s="1352"/>
      <c r="JKQ19" s="789"/>
      <c r="JKR19" s="1352"/>
      <c r="JKW19" s="789"/>
      <c r="JKX19" s="1352"/>
      <c r="JLC19" s="789"/>
      <c r="JLD19" s="1352"/>
      <c r="JLI19" s="789"/>
      <c r="JLJ19" s="1352"/>
      <c r="JLO19" s="789"/>
      <c r="JLP19" s="1352"/>
      <c r="JLU19" s="789"/>
      <c r="JLV19" s="1352"/>
      <c r="JMA19" s="789"/>
      <c r="JMB19" s="1352"/>
      <c r="JMG19" s="789"/>
      <c r="JMH19" s="1352"/>
      <c r="JMM19" s="789"/>
      <c r="JMN19" s="1352"/>
      <c r="JMS19" s="789"/>
      <c r="JMT19" s="1352"/>
      <c r="JMY19" s="789"/>
      <c r="JMZ19" s="1352"/>
      <c r="JNE19" s="789"/>
      <c r="JNF19" s="1352"/>
      <c r="JNK19" s="789"/>
      <c r="JNL19" s="1352"/>
      <c r="JNQ19" s="789"/>
      <c r="JNR19" s="1352"/>
      <c r="JNW19" s="789"/>
      <c r="JNX19" s="1352"/>
      <c r="JOC19" s="789"/>
      <c r="JOD19" s="1352"/>
      <c r="JOI19" s="789"/>
      <c r="JOJ19" s="1352"/>
      <c r="JOO19" s="789"/>
      <c r="JOP19" s="1352"/>
      <c r="JOU19" s="789"/>
      <c r="JOV19" s="1352"/>
      <c r="JPA19" s="789"/>
      <c r="JPB19" s="1352"/>
      <c r="JPG19" s="789"/>
      <c r="JPH19" s="1352"/>
      <c r="JPM19" s="789"/>
      <c r="JPN19" s="1352"/>
      <c r="JPS19" s="789"/>
      <c r="JPT19" s="1352"/>
      <c r="JPY19" s="789"/>
      <c r="JPZ19" s="1352"/>
      <c r="JQE19" s="789"/>
      <c r="JQF19" s="1352"/>
      <c r="JQK19" s="789"/>
      <c r="JQL19" s="1352"/>
      <c r="JQQ19" s="789"/>
      <c r="JQR19" s="1352"/>
      <c r="JQW19" s="789"/>
      <c r="JQX19" s="1352"/>
      <c r="JRC19" s="789"/>
      <c r="JRD19" s="1352"/>
      <c r="JRI19" s="789"/>
      <c r="JRJ19" s="1352"/>
      <c r="JRO19" s="789"/>
      <c r="JRP19" s="1352"/>
      <c r="JRU19" s="789"/>
      <c r="JRV19" s="1352"/>
      <c r="JSA19" s="789"/>
      <c r="JSB19" s="1352"/>
      <c r="JSG19" s="789"/>
      <c r="JSH19" s="1352"/>
      <c r="JSM19" s="789"/>
      <c r="JSN19" s="1352"/>
      <c r="JSS19" s="789"/>
      <c r="JST19" s="1352"/>
      <c r="JSY19" s="789"/>
      <c r="JSZ19" s="1352"/>
      <c r="JTE19" s="789"/>
      <c r="JTF19" s="1352"/>
      <c r="JTK19" s="789"/>
      <c r="JTL19" s="1352"/>
      <c r="JTQ19" s="789"/>
      <c r="JTR19" s="1352"/>
      <c r="JTW19" s="789"/>
      <c r="JTX19" s="1352"/>
      <c r="JUC19" s="789"/>
      <c r="JUD19" s="1352"/>
      <c r="JUI19" s="789"/>
      <c r="JUJ19" s="1352"/>
      <c r="JUO19" s="789"/>
      <c r="JUP19" s="1352"/>
      <c r="JUU19" s="789"/>
      <c r="JUV19" s="1352"/>
      <c r="JVA19" s="789"/>
      <c r="JVB19" s="1352"/>
      <c r="JVG19" s="789"/>
      <c r="JVH19" s="1352"/>
      <c r="JVM19" s="789"/>
      <c r="JVN19" s="1352"/>
      <c r="JVS19" s="789"/>
      <c r="JVT19" s="1352"/>
      <c r="JVY19" s="789"/>
      <c r="JVZ19" s="1352"/>
      <c r="JWE19" s="789"/>
      <c r="JWF19" s="1352"/>
      <c r="JWK19" s="789"/>
      <c r="JWL19" s="1352"/>
      <c r="JWQ19" s="789"/>
      <c r="JWR19" s="1352"/>
      <c r="JWW19" s="789"/>
      <c r="JWX19" s="1352"/>
      <c r="JXC19" s="789"/>
      <c r="JXD19" s="1352"/>
      <c r="JXI19" s="789"/>
      <c r="JXJ19" s="1352"/>
      <c r="JXO19" s="789"/>
      <c r="JXP19" s="1352"/>
      <c r="JXU19" s="789"/>
      <c r="JXV19" s="1352"/>
      <c r="JYA19" s="789"/>
      <c r="JYB19" s="1352"/>
      <c r="JYG19" s="789"/>
      <c r="JYH19" s="1352"/>
      <c r="JYM19" s="789"/>
      <c r="JYN19" s="1352"/>
      <c r="JYS19" s="789"/>
      <c r="JYT19" s="1352"/>
      <c r="JYY19" s="789"/>
      <c r="JYZ19" s="1352"/>
      <c r="JZE19" s="789"/>
      <c r="JZF19" s="1352"/>
      <c r="JZK19" s="789"/>
      <c r="JZL19" s="1352"/>
      <c r="JZQ19" s="789"/>
      <c r="JZR19" s="1352"/>
      <c r="JZW19" s="789"/>
      <c r="JZX19" s="1352"/>
      <c r="KAC19" s="789"/>
      <c r="KAD19" s="1352"/>
      <c r="KAI19" s="789"/>
      <c r="KAJ19" s="1352"/>
      <c r="KAO19" s="789"/>
      <c r="KAP19" s="1352"/>
      <c r="KAU19" s="789"/>
      <c r="KAV19" s="1352"/>
      <c r="KBA19" s="789"/>
      <c r="KBB19" s="1352"/>
      <c r="KBG19" s="789"/>
      <c r="KBH19" s="1352"/>
      <c r="KBM19" s="789"/>
      <c r="KBN19" s="1352"/>
      <c r="KBS19" s="789"/>
      <c r="KBT19" s="1352"/>
      <c r="KBY19" s="789"/>
      <c r="KBZ19" s="1352"/>
      <c r="KCE19" s="789"/>
      <c r="KCF19" s="1352"/>
      <c r="KCK19" s="789"/>
      <c r="KCL19" s="1352"/>
      <c r="KCQ19" s="789"/>
      <c r="KCR19" s="1352"/>
      <c r="KCW19" s="789"/>
      <c r="KCX19" s="1352"/>
      <c r="KDC19" s="789"/>
      <c r="KDD19" s="1352"/>
      <c r="KDI19" s="789"/>
      <c r="KDJ19" s="1352"/>
      <c r="KDO19" s="789"/>
      <c r="KDP19" s="1352"/>
      <c r="KDU19" s="789"/>
      <c r="KDV19" s="1352"/>
      <c r="KEA19" s="789"/>
      <c r="KEB19" s="1352"/>
      <c r="KEG19" s="789"/>
      <c r="KEH19" s="1352"/>
      <c r="KEM19" s="789"/>
      <c r="KEN19" s="1352"/>
      <c r="KES19" s="789"/>
      <c r="KET19" s="1352"/>
      <c r="KEY19" s="789"/>
      <c r="KEZ19" s="1352"/>
      <c r="KFE19" s="789"/>
      <c r="KFF19" s="1352"/>
      <c r="KFK19" s="789"/>
      <c r="KFL19" s="1352"/>
      <c r="KFQ19" s="789"/>
      <c r="KFR19" s="1352"/>
      <c r="KFW19" s="789"/>
      <c r="KFX19" s="1352"/>
      <c r="KGC19" s="789"/>
      <c r="KGD19" s="1352"/>
      <c r="KGI19" s="789"/>
      <c r="KGJ19" s="1352"/>
      <c r="KGO19" s="789"/>
      <c r="KGP19" s="1352"/>
      <c r="KGU19" s="789"/>
      <c r="KGV19" s="1352"/>
      <c r="KHA19" s="789"/>
      <c r="KHB19" s="1352"/>
      <c r="KHG19" s="789"/>
      <c r="KHH19" s="1352"/>
      <c r="KHM19" s="789"/>
      <c r="KHN19" s="1352"/>
      <c r="KHS19" s="789"/>
      <c r="KHT19" s="1352"/>
      <c r="KHY19" s="789"/>
      <c r="KHZ19" s="1352"/>
      <c r="KIE19" s="789"/>
      <c r="KIF19" s="1352"/>
      <c r="KIK19" s="789"/>
      <c r="KIL19" s="1352"/>
      <c r="KIQ19" s="789"/>
      <c r="KIR19" s="1352"/>
      <c r="KIW19" s="789"/>
      <c r="KIX19" s="1352"/>
      <c r="KJC19" s="789"/>
      <c r="KJD19" s="1352"/>
      <c r="KJI19" s="789"/>
      <c r="KJJ19" s="1352"/>
      <c r="KJO19" s="789"/>
      <c r="KJP19" s="1352"/>
      <c r="KJU19" s="789"/>
      <c r="KJV19" s="1352"/>
      <c r="KKA19" s="789"/>
      <c r="KKB19" s="1352"/>
      <c r="KKG19" s="789"/>
      <c r="KKH19" s="1352"/>
      <c r="KKM19" s="789"/>
      <c r="KKN19" s="1352"/>
      <c r="KKS19" s="789"/>
      <c r="KKT19" s="1352"/>
      <c r="KKY19" s="789"/>
      <c r="KKZ19" s="1352"/>
      <c r="KLE19" s="789"/>
      <c r="KLF19" s="1352"/>
      <c r="KLK19" s="789"/>
      <c r="KLL19" s="1352"/>
      <c r="KLQ19" s="789"/>
      <c r="KLR19" s="1352"/>
      <c r="KLW19" s="789"/>
      <c r="KLX19" s="1352"/>
      <c r="KMC19" s="789"/>
      <c r="KMD19" s="1352"/>
      <c r="KMI19" s="789"/>
      <c r="KMJ19" s="1352"/>
      <c r="KMO19" s="789"/>
      <c r="KMP19" s="1352"/>
      <c r="KMU19" s="789"/>
      <c r="KMV19" s="1352"/>
      <c r="KNA19" s="789"/>
      <c r="KNB19" s="1352"/>
      <c r="KNG19" s="789"/>
      <c r="KNH19" s="1352"/>
      <c r="KNM19" s="789"/>
      <c r="KNN19" s="1352"/>
      <c r="KNS19" s="789"/>
      <c r="KNT19" s="1352"/>
      <c r="KNY19" s="789"/>
      <c r="KNZ19" s="1352"/>
      <c r="KOE19" s="789"/>
      <c r="KOF19" s="1352"/>
      <c r="KOK19" s="789"/>
      <c r="KOL19" s="1352"/>
      <c r="KOQ19" s="789"/>
      <c r="KOR19" s="1352"/>
      <c r="KOW19" s="789"/>
      <c r="KOX19" s="1352"/>
      <c r="KPC19" s="789"/>
      <c r="KPD19" s="1352"/>
      <c r="KPI19" s="789"/>
      <c r="KPJ19" s="1352"/>
      <c r="KPO19" s="789"/>
      <c r="KPP19" s="1352"/>
      <c r="KPU19" s="789"/>
      <c r="KPV19" s="1352"/>
      <c r="KQA19" s="789"/>
      <c r="KQB19" s="1352"/>
      <c r="KQG19" s="789"/>
      <c r="KQH19" s="1352"/>
      <c r="KQM19" s="789"/>
      <c r="KQN19" s="1352"/>
      <c r="KQS19" s="789"/>
      <c r="KQT19" s="1352"/>
      <c r="KQY19" s="789"/>
      <c r="KQZ19" s="1352"/>
      <c r="KRE19" s="789"/>
      <c r="KRF19" s="1352"/>
      <c r="KRK19" s="789"/>
      <c r="KRL19" s="1352"/>
      <c r="KRQ19" s="789"/>
      <c r="KRR19" s="1352"/>
      <c r="KRW19" s="789"/>
      <c r="KRX19" s="1352"/>
      <c r="KSC19" s="789"/>
      <c r="KSD19" s="1352"/>
      <c r="KSI19" s="789"/>
      <c r="KSJ19" s="1352"/>
      <c r="KSO19" s="789"/>
      <c r="KSP19" s="1352"/>
      <c r="KSU19" s="789"/>
      <c r="KSV19" s="1352"/>
      <c r="KTA19" s="789"/>
      <c r="KTB19" s="1352"/>
      <c r="KTG19" s="789"/>
      <c r="KTH19" s="1352"/>
      <c r="KTM19" s="789"/>
      <c r="KTN19" s="1352"/>
      <c r="KTS19" s="789"/>
      <c r="KTT19" s="1352"/>
      <c r="KTY19" s="789"/>
      <c r="KTZ19" s="1352"/>
      <c r="KUE19" s="789"/>
      <c r="KUF19" s="1352"/>
      <c r="KUK19" s="789"/>
      <c r="KUL19" s="1352"/>
      <c r="KUQ19" s="789"/>
      <c r="KUR19" s="1352"/>
      <c r="KUW19" s="789"/>
      <c r="KUX19" s="1352"/>
      <c r="KVC19" s="789"/>
      <c r="KVD19" s="1352"/>
      <c r="KVI19" s="789"/>
      <c r="KVJ19" s="1352"/>
      <c r="KVO19" s="789"/>
      <c r="KVP19" s="1352"/>
      <c r="KVU19" s="789"/>
      <c r="KVV19" s="1352"/>
      <c r="KWA19" s="789"/>
      <c r="KWB19" s="1352"/>
      <c r="KWG19" s="789"/>
      <c r="KWH19" s="1352"/>
      <c r="KWM19" s="789"/>
      <c r="KWN19" s="1352"/>
      <c r="KWS19" s="789"/>
      <c r="KWT19" s="1352"/>
      <c r="KWY19" s="789"/>
      <c r="KWZ19" s="1352"/>
      <c r="KXE19" s="789"/>
      <c r="KXF19" s="1352"/>
      <c r="KXK19" s="789"/>
      <c r="KXL19" s="1352"/>
      <c r="KXQ19" s="789"/>
      <c r="KXR19" s="1352"/>
      <c r="KXW19" s="789"/>
      <c r="KXX19" s="1352"/>
      <c r="KYC19" s="789"/>
      <c r="KYD19" s="1352"/>
      <c r="KYI19" s="789"/>
      <c r="KYJ19" s="1352"/>
      <c r="KYO19" s="789"/>
      <c r="KYP19" s="1352"/>
      <c r="KYU19" s="789"/>
      <c r="KYV19" s="1352"/>
      <c r="KZA19" s="789"/>
      <c r="KZB19" s="1352"/>
      <c r="KZG19" s="789"/>
      <c r="KZH19" s="1352"/>
      <c r="KZM19" s="789"/>
      <c r="KZN19" s="1352"/>
      <c r="KZS19" s="789"/>
      <c r="KZT19" s="1352"/>
      <c r="KZY19" s="789"/>
      <c r="KZZ19" s="1352"/>
      <c r="LAE19" s="789"/>
      <c r="LAF19" s="1352"/>
      <c r="LAK19" s="789"/>
      <c r="LAL19" s="1352"/>
      <c r="LAQ19" s="789"/>
      <c r="LAR19" s="1352"/>
      <c r="LAW19" s="789"/>
      <c r="LAX19" s="1352"/>
      <c r="LBC19" s="789"/>
      <c r="LBD19" s="1352"/>
      <c r="LBI19" s="789"/>
      <c r="LBJ19" s="1352"/>
      <c r="LBO19" s="789"/>
      <c r="LBP19" s="1352"/>
      <c r="LBU19" s="789"/>
      <c r="LBV19" s="1352"/>
      <c r="LCA19" s="789"/>
      <c r="LCB19" s="1352"/>
      <c r="LCG19" s="789"/>
      <c r="LCH19" s="1352"/>
      <c r="LCM19" s="789"/>
      <c r="LCN19" s="1352"/>
      <c r="LCS19" s="789"/>
      <c r="LCT19" s="1352"/>
      <c r="LCY19" s="789"/>
      <c r="LCZ19" s="1352"/>
      <c r="LDE19" s="789"/>
      <c r="LDF19" s="1352"/>
      <c r="LDK19" s="789"/>
      <c r="LDL19" s="1352"/>
      <c r="LDQ19" s="789"/>
      <c r="LDR19" s="1352"/>
      <c r="LDW19" s="789"/>
      <c r="LDX19" s="1352"/>
      <c r="LEC19" s="789"/>
      <c r="LED19" s="1352"/>
      <c r="LEI19" s="789"/>
      <c r="LEJ19" s="1352"/>
      <c r="LEO19" s="789"/>
      <c r="LEP19" s="1352"/>
      <c r="LEU19" s="789"/>
      <c r="LEV19" s="1352"/>
      <c r="LFA19" s="789"/>
      <c r="LFB19" s="1352"/>
      <c r="LFG19" s="789"/>
      <c r="LFH19" s="1352"/>
      <c r="LFM19" s="789"/>
      <c r="LFN19" s="1352"/>
      <c r="LFS19" s="789"/>
      <c r="LFT19" s="1352"/>
      <c r="LFY19" s="789"/>
      <c r="LFZ19" s="1352"/>
      <c r="LGE19" s="789"/>
      <c r="LGF19" s="1352"/>
      <c r="LGK19" s="789"/>
      <c r="LGL19" s="1352"/>
      <c r="LGQ19" s="789"/>
      <c r="LGR19" s="1352"/>
      <c r="LGW19" s="789"/>
      <c r="LGX19" s="1352"/>
      <c r="LHC19" s="789"/>
      <c r="LHD19" s="1352"/>
      <c r="LHI19" s="789"/>
      <c r="LHJ19" s="1352"/>
      <c r="LHO19" s="789"/>
      <c r="LHP19" s="1352"/>
      <c r="LHU19" s="789"/>
      <c r="LHV19" s="1352"/>
      <c r="LIA19" s="789"/>
      <c r="LIB19" s="1352"/>
      <c r="LIG19" s="789"/>
      <c r="LIH19" s="1352"/>
      <c r="LIM19" s="789"/>
      <c r="LIN19" s="1352"/>
      <c r="LIS19" s="789"/>
      <c r="LIT19" s="1352"/>
      <c r="LIY19" s="789"/>
      <c r="LIZ19" s="1352"/>
      <c r="LJE19" s="789"/>
      <c r="LJF19" s="1352"/>
      <c r="LJK19" s="789"/>
      <c r="LJL19" s="1352"/>
      <c r="LJQ19" s="789"/>
      <c r="LJR19" s="1352"/>
      <c r="LJW19" s="789"/>
      <c r="LJX19" s="1352"/>
      <c r="LKC19" s="789"/>
      <c r="LKD19" s="1352"/>
      <c r="LKI19" s="789"/>
      <c r="LKJ19" s="1352"/>
      <c r="LKO19" s="789"/>
      <c r="LKP19" s="1352"/>
      <c r="LKU19" s="789"/>
      <c r="LKV19" s="1352"/>
      <c r="LLA19" s="789"/>
      <c r="LLB19" s="1352"/>
      <c r="LLG19" s="789"/>
      <c r="LLH19" s="1352"/>
      <c r="LLM19" s="789"/>
      <c r="LLN19" s="1352"/>
      <c r="LLS19" s="789"/>
      <c r="LLT19" s="1352"/>
      <c r="LLY19" s="789"/>
      <c r="LLZ19" s="1352"/>
      <c r="LME19" s="789"/>
      <c r="LMF19" s="1352"/>
      <c r="LMK19" s="789"/>
      <c r="LML19" s="1352"/>
      <c r="LMQ19" s="789"/>
      <c r="LMR19" s="1352"/>
      <c r="LMW19" s="789"/>
      <c r="LMX19" s="1352"/>
      <c r="LNC19" s="789"/>
      <c r="LND19" s="1352"/>
      <c r="LNI19" s="789"/>
      <c r="LNJ19" s="1352"/>
      <c r="LNO19" s="789"/>
      <c r="LNP19" s="1352"/>
      <c r="LNU19" s="789"/>
      <c r="LNV19" s="1352"/>
      <c r="LOA19" s="789"/>
      <c r="LOB19" s="1352"/>
      <c r="LOG19" s="789"/>
      <c r="LOH19" s="1352"/>
      <c r="LOM19" s="789"/>
      <c r="LON19" s="1352"/>
      <c r="LOS19" s="789"/>
      <c r="LOT19" s="1352"/>
      <c r="LOY19" s="789"/>
      <c r="LOZ19" s="1352"/>
      <c r="LPE19" s="789"/>
      <c r="LPF19" s="1352"/>
      <c r="LPK19" s="789"/>
      <c r="LPL19" s="1352"/>
      <c r="LPQ19" s="789"/>
      <c r="LPR19" s="1352"/>
      <c r="LPW19" s="789"/>
      <c r="LPX19" s="1352"/>
      <c r="LQC19" s="789"/>
      <c r="LQD19" s="1352"/>
      <c r="LQI19" s="789"/>
      <c r="LQJ19" s="1352"/>
      <c r="LQO19" s="789"/>
      <c r="LQP19" s="1352"/>
      <c r="LQU19" s="789"/>
      <c r="LQV19" s="1352"/>
      <c r="LRA19" s="789"/>
      <c r="LRB19" s="1352"/>
      <c r="LRG19" s="789"/>
      <c r="LRH19" s="1352"/>
      <c r="LRM19" s="789"/>
      <c r="LRN19" s="1352"/>
      <c r="LRS19" s="789"/>
      <c r="LRT19" s="1352"/>
      <c r="LRY19" s="789"/>
      <c r="LRZ19" s="1352"/>
      <c r="LSE19" s="789"/>
      <c r="LSF19" s="1352"/>
      <c r="LSK19" s="789"/>
      <c r="LSL19" s="1352"/>
      <c r="LSQ19" s="789"/>
      <c r="LSR19" s="1352"/>
      <c r="LSW19" s="789"/>
      <c r="LSX19" s="1352"/>
      <c r="LTC19" s="789"/>
      <c r="LTD19" s="1352"/>
      <c r="LTI19" s="789"/>
      <c r="LTJ19" s="1352"/>
      <c r="LTO19" s="789"/>
      <c r="LTP19" s="1352"/>
      <c r="LTU19" s="789"/>
      <c r="LTV19" s="1352"/>
      <c r="LUA19" s="789"/>
      <c r="LUB19" s="1352"/>
      <c r="LUG19" s="789"/>
      <c r="LUH19" s="1352"/>
      <c r="LUM19" s="789"/>
      <c r="LUN19" s="1352"/>
      <c r="LUS19" s="789"/>
      <c r="LUT19" s="1352"/>
      <c r="LUY19" s="789"/>
      <c r="LUZ19" s="1352"/>
      <c r="LVE19" s="789"/>
      <c r="LVF19" s="1352"/>
      <c r="LVK19" s="789"/>
      <c r="LVL19" s="1352"/>
      <c r="LVQ19" s="789"/>
      <c r="LVR19" s="1352"/>
      <c r="LVW19" s="789"/>
      <c r="LVX19" s="1352"/>
      <c r="LWC19" s="789"/>
      <c r="LWD19" s="1352"/>
      <c r="LWI19" s="789"/>
      <c r="LWJ19" s="1352"/>
      <c r="LWO19" s="789"/>
      <c r="LWP19" s="1352"/>
      <c r="LWU19" s="789"/>
      <c r="LWV19" s="1352"/>
      <c r="LXA19" s="789"/>
      <c r="LXB19" s="1352"/>
      <c r="LXG19" s="789"/>
      <c r="LXH19" s="1352"/>
      <c r="LXM19" s="789"/>
      <c r="LXN19" s="1352"/>
      <c r="LXS19" s="789"/>
      <c r="LXT19" s="1352"/>
      <c r="LXY19" s="789"/>
      <c r="LXZ19" s="1352"/>
      <c r="LYE19" s="789"/>
      <c r="LYF19" s="1352"/>
      <c r="LYK19" s="789"/>
      <c r="LYL19" s="1352"/>
      <c r="LYQ19" s="789"/>
      <c r="LYR19" s="1352"/>
      <c r="LYW19" s="789"/>
      <c r="LYX19" s="1352"/>
      <c r="LZC19" s="789"/>
      <c r="LZD19" s="1352"/>
      <c r="LZI19" s="789"/>
      <c r="LZJ19" s="1352"/>
      <c r="LZO19" s="789"/>
      <c r="LZP19" s="1352"/>
      <c r="LZU19" s="789"/>
      <c r="LZV19" s="1352"/>
      <c r="MAA19" s="789"/>
      <c r="MAB19" s="1352"/>
      <c r="MAG19" s="789"/>
      <c r="MAH19" s="1352"/>
      <c r="MAM19" s="789"/>
      <c r="MAN19" s="1352"/>
      <c r="MAS19" s="789"/>
      <c r="MAT19" s="1352"/>
      <c r="MAY19" s="789"/>
      <c r="MAZ19" s="1352"/>
      <c r="MBE19" s="789"/>
      <c r="MBF19" s="1352"/>
      <c r="MBK19" s="789"/>
      <c r="MBL19" s="1352"/>
      <c r="MBQ19" s="789"/>
      <c r="MBR19" s="1352"/>
      <c r="MBW19" s="789"/>
      <c r="MBX19" s="1352"/>
      <c r="MCC19" s="789"/>
      <c r="MCD19" s="1352"/>
      <c r="MCI19" s="789"/>
      <c r="MCJ19" s="1352"/>
      <c r="MCO19" s="789"/>
      <c r="MCP19" s="1352"/>
      <c r="MCU19" s="789"/>
      <c r="MCV19" s="1352"/>
      <c r="MDA19" s="789"/>
      <c r="MDB19" s="1352"/>
      <c r="MDG19" s="789"/>
      <c r="MDH19" s="1352"/>
      <c r="MDM19" s="789"/>
      <c r="MDN19" s="1352"/>
      <c r="MDS19" s="789"/>
      <c r="MDT19" s="1352"/>
      <c r="MDY19" s="789"/>
      <c r="MDZ19" s="1352"/>
      <c r="MEE19" s="789"/>
      <c r="MEF19" s="1352"/>
      <c r="MEK19" s="789"/>
      <c r="MEL19" s="1352"/>
      <c r="MEQ19" s="789"/>
      <c r="MER19" s="1352"/>
      <c r="MEW19" s="789"/>
      <c r="MEX19" s="1352"/>
      <c r="MFC19" s="789"/>
      <c r="MFD19" s="1352"/>
      <c r="MFI19" s="789"/>
      <c r="MFJ19" s="1352"/>
      <c r="MFO19" s="789"/>
      <c r="MFP19" s="1352"/>
      <c r="MFU19" s="789"/>
      <c r="MFV19" s="1352"/>
      <c r="MGA19" s="789"/>
      <c r="MGB19" s="1352"/>
      <c r="MGG19" s="789"/>
      <c r="MGH19" s="1352"/>
      <c r="MGM19" s="789"/>
      <c r="MGN19" s="1352"/>
      <c r="MGS19" s="789"/>
      <c r="MGT19" s="1352"/>
      <c r="MGY19" s="789"/>
      <c r="MGZ19" s="1352"/>
      <c r="MHE19" s="789"/>
      <c r="MHF19" s="1352"/>
      <c r="MHK19" s="789"/>
      <c r="MHL19" s="1352"/>
      <c r="MHQ19" s="789"/>
      <c r="MHR19" s="1352"/>
      <c r="MHW19" s="789"/>
      <c r="MHX19" s="1352"/>
      <c r="MIC19" s="789"/>
      <c r="MID19" s="1352"/>
      <c r="MII19" s="789"/>
      <c r="MIJ19" s="1352"/>
      <c r="MIO19" s="789"/>
      <c r="MIP19" s="1352"/>
      <c r="MIU19" s="789"/>
      <c r="MIV19" s="1352"/>
      <c r="MJA19" s="789"/>
      <c r="MJB19" s="1352"/>
      <c r="MJG19" s="789"/>
      <c r="MJH19" s="1352"/>
      <c r="MJM19" s="789"/>
      <c r="MJN19" s="1352"/>
      <c r="MJS19" s="789"/>
      <c r="MJT19" s="1352"/>
      <c r="MJY19" s="789"/>
      <c r="MJZ19" s="1352"/>
      <c r="MKE19" s="789"/>
      <c r="MKF19" s="1352"/>
      <c r="MKK19" s="789"/>
      <c r="MKL19" s="1352"/>
      <c r="MKQ19" s="789"/>
      <c r="MKR19" s="1352"/>
      <c r="MKW19" s="789"/>
      <c r="MKX19" s="1352"/>
      <c r="MLC19" s="789"/>
      <c r="MLD19" s="1352"/>
      <c r="MLI19" s="789"/>
      <c r="MLJ19" s="1352"/>
      <c r="MLO19" s="789"/>
      <c r="MLP19" s="1352"/>
      <c r="MLU19" s="789"/>
      <c r="MLV19" s="1352"/>
      <c r="MMA19" s="789"/>
      <c r="MMB19" s="1352"/>
      <c r="MMG19" s="789"/>
      <c r="MMH19" s="1352"/>
      <c r="MMM19" s="789"/>
      <c r="MMN19" s="1352"/>
      <c r="MMS19" s="789"/>
      <c r="MMT19" s="1352"/>
      <c r="MMY19" s="789"/>
      <c r="MMZ19" s="1352"/>
      <c r="MNE19" s="789"/>
      <c r="MNF19" s="1352"/>
      <c r="MNK19" s="789"/>
      <c r="MNL19" s="1352"/>
      <c r="MNQ19" s="789"/>
      <c r="MNR19" s="1352"/>
      <c r="MNW19" s="789"/>
      <c r="MNX19" s="1352"/>
      <c r="MOC19" s="789"/>
      <c r="MOD19" s="1352"/>
      <c r="MOI19" s="789"/>
      <c r="MOJ19" s="1352"/>
      <c r="MOO19" s="789"/>
      <c r="MOP19" s="1352"/>
      <c r="MOU19" s="789"/>
      <c r="MOV19" s="1352"/>
      <c r="MPA19" s="789"/>
      <c r="MPB19" s="1352"/>
      <c r="MPG19" s="789"/>
      <c r="MPH19" s="1352"/>
      <c r="MPM19" s="789"/>
      <c r="MPN19" s="1352"/>
      <c r="MPS19" s="789"/>
      <c r="MPT19" s="1352"/>
      <c r="MPY19" s="789"/>
      <c r="MPZ19" s="1352"/>
      <c r="MQE19" s="789"/>
      <c r="MQF19" s="1352"/>
      <c r="MQK19" s="789"/>
      <c r="MQL19" s="1352"/>
      <c r="MQQ19" s="789"/>
      <c r="MQR19" s="1352"/>
      <c r="MQW19" s="789"/>
      <c r="MQX19" s="1352"/>
      <c r="MRC19" s="789"/>
      <c r="MRD19" s="1352"/>
      <c r="MRI19" s="789"/>
      <c r="MRJ19" s="1352"/>
      <c r="MRO19" s="789"/>
      <c r="MRP19" s="1352"/>
      <c r="MRU19" s="789"/>
      <c r="MRV19" s="1352"/>
      <c r="MSA19" s="789"/>
      <c r="MSB19" s="1352"/>
      <c r="MSG19" s="789"/>
      <c r="MSH19" s="1352"/>
      <c r="MSM19" s="789"/>
      <c r="MSN19" s="1352"/>
      <c r="MSS19" s="789"/>
      <c r="MST19" s="1352"/>
      <c r="MSY19" s="789"/>
      <c r="MSZ19" s="1352"/>
      <c r="MTE19" s="789"/>
      <c r="MTF19" s="1352"/>
      <c r="MTK19" s="789"/>
      <c r="MTL19" s="1352"/>
      <c r="MTQ19" s="789"/>
      <c r="MTR19" s="1352"/>
      <c r="MTW19" s="789"/>
      <c r="MTX19" s="1352"/>
      <c r="MUC19" s="789"/>
      <c r="MUD19" s="1352"/>
      <c r="MUI19" s="789"/>
      <c r="MUJ19" s="1352"/>
      <c r="MUO19" s="789"/>
      <c r="MUP19" s="1352"/>
      <c r="MUU19" s="789"/>
      <c r="MUV19" s="1352"/>
      <c r="MVA19" s="789"/>
      <c r="MVB19" s="1352"/>
      <c r="MVG19" s="789"/>
      <c r="MVH19" s="1352"/>
      <c r="MVM19" s="789"/>
      <c r="MVN19" s="1352"/>
      <c r="MVS19" s="789"/>
      <c r="MVT19" s="1352"/>
      <c r="MVY19" s="789"/>
      <c r="MVZ19" s="1352"/>
      <c r="MWE19" s="789"/>
      <c r="MWF19" s="1352"/>
      <c r="MWK19" s="789"/>
      <c r="MWL19" s="1352"/>
      <c r="MWQ19" s="789"/>
      <c r="MWR19" s="1352"/>
      <c r="MWW19" s="789"/>
      <c r="MWX19" s="1352"/>
      <c r="MXC19" s="789"/>
      <c r="MXD19" s="1352"/>
      <c r="MXI19" s="789"/>
      <c r="MXJ19" s="1352"/>
      <c r="MXO19" s="789"/>
      <c r="MXP19" s="1352"/>
      <c r="MXU19" s="789"/>
      <c r="MXV19" s="1352"/>
      <c r="MYA19" s="789"/>
      <c r="MYB19" s="1352"/>
      <c r="MYG19" s="789"/>
      <c r="MYH19" s="1352"/>
      <c r="MYM19" s="789"/>
      <c r="MYN19" s="1352"/>
      <c r="MYS19" s="789"/>
      <c r="MYT19" s="1352"/>
      <c r="MYY19" s="789"/>
      <c r="MYZ19" s="1352"/>
      <c r="MZE19" s="789"/>
      <c r="MZF19" s="1352"/>
      <c r="MZK19" s="789"/>
      <c r="MZL19" s="1352"/>
      <c r="MZQ19" s="789"/>
      <c r="MZR19" s="1352"/>
      <c r="MZW19" s="789"/>
      <c r="MZX19" s="1352"/>
      <c r="NAC19" s="789"/>
      <c r="NAD19" s="1352"/>
      <c r="NAI19" s="789"/>
      <c r="NAJ19" s="1352"/>
      <c r="NAO19" s="789"/>
      <c r="NAP19" s="1352"/>
      <c r="NAU19" s="789"/>
      <c r="NAV19" s="1352"/>
      <c r="NBA19" s="789"/>
      <c r="NBB19" s="1352"/>
      <c r="NBG19" s="789"/>
      <c r="NBH19" s="1352"/>
      <c r="NBM19" s="789"/>
      <c r="NBN19" s="1352"/>
      <c r="NBS19" s="789"/>
      <c r="NBT19" s="1352"/>
      <c r="NBY19" s="789"/>
      <c r="NBZ19" s="1352"/>
      <c r="NCE19" s="789"/>
      <c r="NCF19" s="1352"/>
      <c r="NCK19" s="789"/>
      <c r="NCL19" s="1352"/>
      <c r="NCQ19" s="789"/>
      <c r="NCR19" s="1352"/>
      <c r="NCW19" s="789"/>
      <c r="NCX19" s="1352"/>
      <c r="NDC19" s="789"/>
      <c r="NDD19" s="1352"/>
      <c r="NDI19" s="789"/>
      <c r="NDJ19" s="1352"/>
      <c r="NDO19" s="789"/>
      <c r="NDP19" s="1352"/>
      <c r="NDU19" s="789"/>
      <c r="NDV19" s="1352"/>
      <c r="NEA19" s="789"/>
      <c r="NEB19" s="1352"/>
      <c r="NEG19" s="789"/>
      <c r="NEH19" s="1352"/>
      <c r="NEM19" s="789"/>
      <c r="NEN19" s="1352"/>
      <c r="NES19" s="789"/>
      <c r="NET19" s="1352"/>
      <c r="NEY19" s="789"/>
      <c r="NEZ19" s="1352"/>
      <c r="NFE19" s="789"/>
      <c r="NFF19" s="1352"/>
      <c r="NFK19" s="789"/>
      <c r="NFL19" s="1352"/>
      <c r="NFQ19" s="789"/>
      <c r="NFR19" s="1352"/>
      <c r="NFW19" s="789"/>
      <c r="NFX19" s="1352"/>
      <c r="NGC19" s="789"/>
      <c r="NGD19" s="1352"/>
      <c r="NGI19" s="789"/>
      <c r="NGJ19" s="1352"/>
      <c r="NGO19" s="789"/>
      <c r="NGP19" s="1352"/>
      <c r="NGU19" s="789"/>
      <c r="NGV19" s="1352"/>
      <c r="NHA19" s="789"/>
      <c r="NHB19" s="1352"/>
      <c r="NHG19" s="789"/>
      <c r="NHH19" s="1352"/>
      <c r="NHM19" s="789"/>
      <c r="NHN19" s="1352"/>
      <c r="NHS19" s="789"/>
      <c r="NHT19" s="1352"/>
      <c r="NHY19" s="789"/>
      <c r="NHZ19" s="1352"/>
      <c r="NIE19" s="789"/>
      <c r="NIF19" s="1352"/>
      <c r="NIK19" s="789"/>
      <c r="NIL19" s="1352"/>
      <c r="NIQ19" s="789"/>
      <c r="NIR19" s="1352"/>
      <c r="NIW19" s="789"/>
      <c r="NIX19" s="1352"/>
      <c r="NJC19" s="789"/>
      <c r="NJD19" s="1352"/>
      <c r="NJI19" s="789"/>
      <c r="NJJ19" s="1352"/>
      <c r="NJO19" s="789"/>
      <c r="NJP19" s="1352"/>
      <c r="NJU19" s="789"/>
      <c r="NJV19" s="1352"/>
      <c r="NKA19" s="789"/>
      <c r="NKB19" s="1352"/>
      <c r="NKG19" s="789"/>
      <c r="NKH19" s="1352"/>
      <c r="NKM19" s="789"/>
      <c r="NKN19" s="1352"/>
      <c r="NKS19" s="789"/>
      <c r="NKT19" s="1352"/>
      <c r="NKY19" s="789"/>
      <c r="NKZ19" s="1352"/>
      <c r="NLE19" s="789"/>
      <c r="NLF19" s="1352"/>
      <c r="NLK19" s="789"/>
      <c r="NLL19" s="1352"/>
      <c r="NLQ19" s="789"/>
      <c r="NLR19" s="1352"/>
      <c r="NLW19" s="789"/>
      <c r="NLX19" s="1352"/>
      <c r="NMC19" s="789"/>
      <c r="NMD19" s="1352"/>
      <c r="NMI19" s="789"/>
      <c r="NMJ19" s="1352"/>
      <c r="NMO19" s="789"/>
      <c r="NMP19" s="1352"/>
      <c r="NMU19" s="789"/>
      <c r="NMV19" s="1352"/>
      <c r="NNA19" s="789"/>
      <c r="NNB19" s="1352"/>
      <c r="NNG19" s="789"/>
      <c r="NNH19" s="1352"/>
      <c r="NNM19" s="789"/>
      <c r="NNN19" s="1352"/>
      <c r="NNS19" s="789"/>
      <c r="NNT19" s="1352"/>
      <c r="NNY19" s="789"/>
      <c r="NNZ19" s="1352"/>
      <c r="NOE19" s="789"/>
      <c r="NOF19" s="1352"/>
      <c r="NOK19" s="789"/>
      <c r="NOL19" s="1352"/>
      <c r="NOQ19" s="789"/>
      <c r="NOR19" s="1352"/>
      <c r="NOW19" s="789"/>
      <c r="NOX19" s="1352"/>
      <c r="NPC19" s="789"/>
      <c r="NPD19" s="1352"/>
      <c r="NPI19" s="789"/>
      <c r="NPJ19" s="1352"/>
      <c r="NPO19" s="789"/>
      <c r="NPP19" s="1352"/>
      <c r="NPU19" s="789"/>
      <c r="NPV19" s="1352"/>
      <c r="NQA19" s="789"/>
      <c r="NQB19" s="1352"/>
      <c r="NQG19" s="789"/>
      <c r="NQH19" s="1352"/>
      <c r="NQM19" s="789"/>
      <c r="NQN19" s="1352"/>
      <c r="NQS19" s="789"/>
      <c r="NQT19" s="1352"/>
      <c r="NQY19" s="789"/>
      <c r="NQZ19" s="1352"/>
      <c r="NRE19" s="789"/>
      <c r="NRF19" s="1352"/>
      <c r="NRK19" s="789"/>
      <c r="NRL19" s="1352"/>
      <c r="NRQ19" s="789"/>
      <c r="NRR19" s="1352"/>
      <c r="NRW19" s="789"/>
      <c r="NRX19" s="1352"/>
      <c r="NSC19" s="789"/>
      <c r="NSD19" s="1352"/>
      <c r="NSI19" s="789"/>
      <c r="NSJ19" s="1352"/>
      <c r="NSO19" s="789"/>
      <c r="NSP19" s="1352"/>
      <c r="NSU19" s="789"/>
      <c r="NSV19" s="1352"/>
      <c r="NTA19" s="789"/>
      <c r="NTB19" s="1352"/>
      <c r="NTG19" s="789"/>
      <c r="NTH19" s="1352"/>
      <c r="NTM19" s="789"/>
      <c r="NTN19" s="1352"/>
      <c r="NTS19" s="789"/>
      <c r="NTT19" s="1352"/>
      <c r="NTY19" s="789"/>
      <c r="NTZ19" s="1352"/>
      <c r="NUE19" s="789"/>
      <c r="NUF19" s="1352"/>
      <c r="NUK19" s="789"/>
      <c r="NUL19" s="1352"/>
      <c r="NUQ19" s="789"/>
      <c r="NUR19" s="1352"/>
      <c r="NUW19" s="789"/>
      <c r="NUX19" s="1352"/>
      <c r="NVC19" s="789"/>
      <c r="NVD19" s="1352"/>
      <c r="NVI19" s="789"/>
      <c r="NVJ19" s="1352"/>
      <c r="NVO19" s="789"/>
      <c r="NVP19" s="1352"/>
      <c r="NVU19" s="789"/>
      <c r="NVV19" s="1352"/>
      <c r="NWA19" s="789"/>
      <c r="NWB19" s="1352"/>
      <c r="NWG19" s="789"/>
      <c r="NWH19" s="1352"/>
      <c r="NWM19" s="789"/>
      <c r="NWN19" s="1352"/>
      <c r="NWS19" s="789"/>
      <c r="NWT19" s="1352"/>
      <c r="NWY19" s="789"/>
      <c r="NWZ19" s="1352"/>
      <c r="NXE19" s="789"/>
      <c r="NXF19" s="1352"/>
      <c r="NXK19" s="789"/>
      <c r="NXL19" s="1352"/>
      <c r="NXQ19" s="789"/>
      <c r="NXR19" s="1352"/>
      <c r="NXW19" s="789"/>
      <c r="NXX19" s="1352"/>
      <c r="NYC19" s="789"/>
      <c r="NYD19" s="1352"/>
      <c r="NYI19" s="789"/>
      <c r="NYJ19" s="1352"/>
      <c r="NYO19" s="789"/>
      <c r="NYP19" s="1352"/>
      <c r="NYU19" s="789"/>
      <c r="NYV19" s="1352"/>
      <c r="NZA19" s="789"/>
      <c r="NZB19" s="1352"/>
      <c r="NZG19" s="789"/>
      <c r="NZH19" s="1352"/>
      <c r="NZM19" s="789"/>
      <c r="NZN19" s="1352"/>
      <c r="NZS19" s="789"/>
      <c r="NZT19" s="1352"/>
      <c r="NZY19" s="789"/>
      <c r="NZZ19" s="1352"/>
      <c r="OAE19" s="789"/>
      <c r="OAF19" s="1352"/>
      <c r="OAK19" s="789"/>
      <c r="OAL19" s="1352"/>
      <c r="OAQ19" s="789"/>
      <c r="OAR19" s="1352"/>
      <c r="OAW19" s="789"/>
      <c r="OAX19" s="1352"/>
      <c r="OBC19" s="789"/>
      <c r="OBD19" s="1352"/>
      <c r="OBI19" s="789"/>
      <c r="OBJ19" s="1352"/>
      <c r="OBO19" s="789"/>
      <c r="OBP19" s="1352"/>
      <c r="OBU19" s="789"/>
      <c r="OBV19" s="1352"/>
      <c r="OCA19" s="789"/>
      <c r="OCB19" s="1352"/>
      <c r="OCG19" s="789"/>
      <c r="OCH19" s="1352"/>
      <c r="OCM19" s="789"/>
      <c r="OCN19" s="1352"/>
      <c r="OCS19" s="789"/>
      <c r="OCT19" s="1352"/>
      <c r="OCY19" s="789"/>
      <c r="OCZ19" s="1352"/>
      <c r="ODE19" s="789"/>
      <c r="ODF19" s="1352"/>
      <c r="ODK19" s="789"/>
      <c r="ODL19" s="1352"/>
      <c r="ODQ19" s="789"/>
      <c r="ODR19" s="1352"/>
      <c r="ODW19" s="789"/>
      <c r="ODX19" s="1352"/>
      <c r="OEC19" s="789"/>
      <c r="OED19" s="1352"/>
      <c r="OEI19" s="789"/>
      <c r="OEJ19" s="1352"/>
      <c r="OEO19" s="789"/>
      <c r="OEP19" s="1352"/>
      <c r="OEU19" s="789"/>
      <c r="OEV19" s="1352"/>
      <c r="OFA19" s="789"/>
      <c r="OFB19" s="1352"/>
      <c r="OFG19" s="789"/>
      <c r="OFH19" s="1352"/>
      <c r="OFM19" s="789"/>
      <c r="OFN19" s="1352"/>
      <c r="OFS19" s="789"/>
      <c r="OFT19" s="1352"/>
      <c r="OFY19" s="789"/>
      <c r="OFZ19" s="1352"/>
      <c r="OGE19" s="789"/>
      <c r="OGF19" s="1352"/>
      <c r="OGK19" s="789"/>
      <c r="OGL19" s="1352"/>
      <c r="OGQ19" s="789"/>
      <c r="OGR19" s="1352"/>
      <c r="OGW19" s="789"/>
      <c r="OGX19" s="1352"/>
      <c r="OHC19" s="789"/>
      <c r="OHD19" s="1352"/>
      <c r="OHI19" s="789"/>
      <c r="OHJ19" s="1352"/>
      <c r="OHO19" s="789"/>
      <c r="OHP19" s="1352"/>
      <c r="OHU19" s="789"/>
      <c r="OHV19" s="1352"/>
      <c r="OIA19" s="789"/>
      <c r="OIB19" s="1352"/>
      <c r="OIG19" s="789"/>
      <c r="OIH19" s="1352"/>
      <c r="OIM19" s="789"/>
      <c r="OIN19" s="1352"/>
      <c r="OIS19" s="789"/>
      <c r="OIT19" s="1352"/>
      <c r="OIY19" s="789"/>
      <c r="OIZ19" s="1352"/>
      <c r="OJE19" s="789"/>
      <c r="OJF19" s="1352"/>
      <c r="OJK19" s="789"/>
      <c r="OJL19" s="1352"/>
      <c r="OJQ19" s="789"/>
      <c r="OJR19" s="1352"/>
      <c r="OJW19" s="789"/>
      <c r="OJX19" s="1352"/>
      <c r="OKC19" s="789"/>
      <c r="OKD19" s="1352"/>
      <c r="OKI19" s="789"/>
      <c r="OKJ19" s="1352"/>
      <c r="OKO19" s="789"/>
      <c r="OKP19" s="1352"/>
      <c r="OKU19" s="789"/>
      <c r="OKV19" s="1352"/>
      <c r="OLA19" s="789"/>
      <c r="OLB19" s="1352"/>
      <c r="OLG19" s="789"/>
      <c r="OLH19" s="1352"/>
      <c r="OLM19" s="789"/>
      <c r="OLN19" s="1352"/>
      <c r="OLS19" s="789"/>
      <c r="OLT19" s="1352"/>
      <c r="OLY19" s="789"/>
      <c r="OLZ19" s="1352"/>
      <c r="OME19" s="789"/>
      <c r="OMF19" s="1352"/>
      <c r="OMK19" s="789"/>
      <c r="OML19" s="1352"/>
      <c r="OMQ19" s="789"/>
      <c r="OMR19" s="1352"/>
      <c r="OMW19" s="789"/>
      <c r="OMX19" s="1352"/>
      <c r="ONC19" s="789"/>
      <c r="OND19" s="1352"/>
      <c r="ONI19" s="789"/>
      <c r="ONJ19" s="1352"/>
      <c r="ONO19" s="789"/>
      <c r="ONP19" s="1352"/>
      <c r="ONU19" s="789"/>
      <c r="ONV19" s="1352"/>
      <c r="OOA19" s="789"/>
      <c r="OOB19" s="1352"/>
      <c r="OOG19" s="789"/>
      <c r="OOH19" s="1352"/>
      <c r="OOM19" s="789"/>
      <c r="OON19" s="1352"/>
      <c r="OOS19" s="789"/>
      <c r="OOT19" s="1352"/>
      <c r="OOY19" s="789"/>
      <c r="OOZ19" s="1352"/>
      <c r="OPE19" s="789"/>
      <c r="OPF19" s="1352"/>
      <c r="OPK19" s="789"/>
      <c r="OPL19" s="1352"/>
      <c r="OPQ19" s="789"/>
      <c r="OPR19" s="1352"/>
      <c r="OPW19" s="789"/>
      <c r="OPX19" s="1352"/>
      <c r="OQC19" s="789"/>
      <c r="OQD19" s="1352"/>
      <c r="OQI19" s="789"/>
      <c r="OQJ19" s="1352"/>
      <c r="OQO19" s="789"/>
      <c r="OQP19" s="1352"/>
      <c r="OQU19" s="789"/>
      <c r="OQV19" s="1352"/>
      <c r="ORA19" s="789"/>
      <c r="ORB19" s="1352"/>
      <c r="ORG19" s="789"/>
      <c r="ORH19" s="1352"/>
      <c r="ORM19" s="789"/>
      <c r="ORN19" s="1352"/>
      <c r="ORS19" s="789"/>
      <c r="ORT19" s="1352"/>
      <c r="ORY19" s="789"/>
      <c r="ORZ19" s="1352"/>
      <c r="OSE19" s="789"/>
      <c r="OSF19" s="1352"/>
      <c r="OSK19" s="789"/>
      <c r="OSL19" s="1352"/>
      <c r="OSQ19" s="789"/>
      <c r="OSR19" s="1352"/>
      <c r="OSW19" s="789"/>
      <c r="OSX19" s="1352"/>
      <c r="OTC19" s="789"/>
      <c r="OTD19" s="1352"/>
      <c r="OTI19" s="789"/>
      <c r="OTJ19" s="1352"/>
      <c r="OTO19" s="789"/>
      <c r="OTP19" s="1352"/>
      <c r="OTU19" s="789"/>
      <c r="OTV19" s="1352"/>
      <c r="OUA19" s="789"/>
      <c r="OUB19" s="1352"/>
      <c r="OUG19" s="789"/>
      <c r="OUH19" s="1352"/>
      <c r="OUM19" s="789"/>
      <c r="OUN19" s="1352"/>
      <c r="OUS19" s="789"/>
      <c r="OUT19" s="1352"/>
      <c r="OUY19" s="789"/>
      <c r="OUZ19" s="1352"/>
      <c r="OVE19" s="789"/>
      <c r="OVF19" s="1352"/>
      <c r="OVK19" s="789"/>
      <c r="OVL19" s="1352"/>
      <c r="OVQ19" s="789"/>
      <c r="OVR19" s="1352"/>
      <c r="OVW19" s="789"/>
      <c r="OVX19" s="1352"/>
      <c r="OWC19" s="789"/>
      <c r="OWD19" s="1352"/>
      <c r="OWI19" s="789"/>
      <c r="OWJ19" s="1352"/>
      <c r="OWO19" s="789"/>
      <c r="OWP19" s="1352"/>
      <c r="OWU19" s="789"/>
      <c r="OWV19" s="1352"/>
      <c r="OXA19" s="789"/>
      <c r="OXB19" s="1352"/>
      <c r="OXG19" s="789"/>
      <c r="OXH19" s="1352"/>
      <c r="OXM19" s="789"/>
      <c r="OXN19" s="1352"/>
      <c r="OXS19" s="789"/>
      <c r="OXT19" s="1352"/>
      <c r="OXY19" s="789"/>
      <c r="OXZ19" s="1352"/>
      <c r="OYE19" s="789"/>
      <c r="OYF19" s="1352"/>
      <c r="OYK19" s="789"/>
      <c r="OYL19" s="1352"/>
      <c r="OYQ19" s="789"/>
      <c r="OYR19" s="1352"/>
      <c r="OYW19" s="789"/>
      <c r="OYX19" s="1352"/>
      <c r="OZC19" s="789"/>
      <c r="OZD19" s="1352"/>
      <c r="OZI19" s="789"/>
      <c r="OZJ19" s="1352"/>
      <c r="OZO19" s="789"/>
      <c r="OZP19" s="1352"/>
      <c r="OZU19" s="789"/>
      <c r="OZV19" s="1352"/>
      <c r="PAA19" s="789"/>
      <c r="PAB19" s="1352"/>
      <c r="PAG19" s="789"/>
      <c r="PAH19" s="1352"/>
      <c r="PAM19" s="789"/>
      <c r="PAN19" s="1352"/>
      <c r="PAS19" s="789"/>
      <c r="PAT19" s="1352"/>
      <c r="PAY19" s="789"/>
      <c r="PAZ19" s="1352"/>
      <c r="PBE19" s="789"/>
      <c r="PBF19" s="1352"/>
      <c r="PBK19" s="789"/>
      <c r="PBL19" s="1352"/>
      <c r="PBQ19" s="789"/>
      <c r="PBR19" s="1352"/>
      <c r="PBW19" s="789"/>
      <c r="PBX19" s="1352"/>
      <c r="PCC19" s="789"/>
      <c r="PCD19" s="1352"/>
      <c r="PCI19" s="789"/>
      <c r="PCJ19" s="1352"/>
      <c r="PCO19" s="789"/>
      <c r="PCP19" s="1352"/>
      <c r="PCU19" s="789"/>
      <c r="PCV19" s="1352"/>
      <c r="PDA19" s="789"/>
      <c r="PDB19" s="1352"/>
      <c r="PDG19" s="789"/>
      <c r="PDH19" s="1352"/>
      <c r="PDM19" s="789"/>
      <c r="PDN19" s="1352"/>
      <c r="PDS19" s="789"/>
      <c r="PDT19" s="1352"/>
      <c r="PDY19" s="789"/>
      <c r="PDZ19" s="1352"/>
      <c r="PEE19" s="789"/>
      <c r="PEF19" s="1352"/>
      <c r="PEK19" s="789"/>
      <c r="PEL19" s="1352"/>
      <c r="PEQ19" s="789"/>
      <c r="PER19" s="1352"/>
      <c r="PEW19" s="789"/>
      <c r="PEX19" s="1352"/>
      <c r="PFC19" s="789"/>
      <c r="PFD19" s="1352"/>
      <c r="PFI19" s="789"/>
      <c r="PFJ19" s="1352"/>
      <c r="PFO19" s="789"/>
      <c r="PFP19" s="1352"/>
      <c r="PFU19" s="789"/>
      <c r="PFV19" s="1352"/>
      <c r="PGA19" s="789"/>
      <c r="PGB19" s="1352"/>
      <c r="PGG19" s="789"/>
      <c r="PGH19" s="1352"/>
      <c r="PGM19" s="789"/>
      <c r="PGN19" s="1352"/>
      <c r="PGS19" s="789"/>
      <c r="PGT19" s="1352"/>
      <c r="PGY19" s="789"/>
      <c r="PGZ19" s="1352"/>
      <c r="PHE19" s="789"/>
      <c r="PHF19" s="1352"/>
      <c r="PHK19" s="789"/>
      <c r="PHL19" s="1352"/>
      <c r="PHQ19" s="789"/>
      <c r="PHR19" s="1352"/>
      <c r="PHW19" s="789"/>
      <c r="PHX19" s="1352"/>
      <c r="PIC19" s="789"/>
      <c r="PID19" s="1352"/>
      <c r="PII19" s="789"/>
      <c r="PIJ19" s="1352"/>
      <c r="PIO19" s="789"/>
      <c r="PIP19" s="1352"/>
      <c r="PIU19" s="789"/>
      <c r="PIV19" s="1352"/>
      <c r="PJA19" s="789"/>
      <c r="PJB19" s="1352"/>
      <c r="PJG19" s="789"/>
      <c r="PJH19" s="1352"/>
      <c r="PJM19" s="789"/>
      <c r="PJN19" s="1352"/>
      <c r="PJS19" s="789"/>
      <c r="PJT19" s="1352"/>
      <c r="PJY19" s="789"/>
      <c r="PJZ19" s="1352"/>
      <c r="PKE19" s="789"/>
      <c r="PKF19" s="1352"/>
      <c r="PKK19" s="789"/>
      <c r="PKL19" s="1352"/>
      <c r="PKQ19" s="789"/>
      <c r="PKR19" s="1352"/>
      <c r="PKW19" s="789"/>
      <c r="PKX19" s="1352"/>
      <c r="PLC19" s="789"/>
      <c r="PLD19" s="1352"/>
      <c r="PLI19" s="789"/>
      <c r="PLJ19" s="1352"/>
      <c r="PLO19" s="789"/>
      <c r="PLP19" s="1352"/>
      <c r="PLU19" s="789"/>
      <c r="PLV19" s="1352"/>
      <c r="PMA19" s="789"/>
      <c r="PMB19" s="1352"/>
      <c r="PMG19" s="789"/>
      <c r="PMH19" s="1352"/>
      <c r="PMM19" s="789"/>
      <c r="PMN19" s="1352"/>
      <c r="PMS19" s="789"/>
      <c r="PMT19" s="1352"/>
      <c r="PMY19" s="789"/>
      <c r="PMZ19" s="1352"/>
      <c r="PNE19" s="789"/>
      <c r="PNF19" s="1352"/>
      <c r="PNK19" s="789"/>
      <c r="PNL19" s="1352"/>
      <c r="PNQ19" s="789"/>
      <c r="PNR19" s="1352"/>
      <c r="PNW19" s="789"/>
      <c r="PNX19" s="1352"/>
      <c r="POC19" s="789"/>
      <c r="POD19" s="1352"/>
      <c r="POI19" s="789"/>
      <c r="POJ19" s="1352"/>
      <c r="POO19" s="789"/>
      <c r="POP19" s="1352"/>
      <c r="POU19" s="789"/>
      <c r="POV19" s="1352"/>
      <c r="PPA19" s="789"/>
      <c r="PPB19" s="1352"/>
      <c r="PPG19" s="789"/>
      <c r="PPH19" s="1352"/>
      <c r="PPM19" s="789"/>
      <c r="PPN19" s="1352"/>
      <c r="PPS19" s="789"/>
      <c r="PPT19" s="1352"/>
      <c r="PPY19" s="789"/>
      <c r="PPZ19" s="1352"/>
      <c r="PQE19" s="789"/>
      <c r="PQF19" s="1352"/>
      <c r="PQK19" s="789"/>
      <c r="PQL19" s="1352"/>
      <c r="PQQ19" s="789"/>
      <c r="PQR19" s="1352"/>
      <c r="PQW19" s="789"/>
      <c r="PQX19" s="1352"/>
      <c r="PRC19" s="789"/>
      <c r="PRD19" s="1352"/>
      <c r="PRI19" s="789"/>
      <c r="PRJ19" s="1352"/>
      <c r="PRO19" s="789"/>
      <c r="PRP19" s="1352"/>
      <c r="PRU19" s="789"/>
      <c r="PRV19" s="1352"/>
      <c r="PSA19" s="789"/>
      <c r="PSB19" s="1352"/>
      <c r="PSG19" s="789"/>
      <c r="PSH19" s="1352"/>
      <c r="PSM19" s="789"/>
      <c r="PSN19" s="1352"/>
      <c r="PSS19" s="789"/>
      <c r="PST19" s="1352"/>
      <c r="PSY19" s="789"/>
      <c r="PSZ19" s="1352"/>
      <c r="PTE19" s="789"/>
      <c r="PTF19" s="1352"/>
      <c r="PTK19" s="789"/>
      <c r="PTL19" s="1352"/>
      <c r="PTQ19" s="789"/>
      <c r="PTR19" s="1352"/>
      <c r="PTW19" s="789"/>
      <c r="PTX19" s="1352"/>
      <c r="PUC19" s="789"/>
      <c r="PUD19" s="1352"/>
      <c r="PUI19" s="789"/>
      <c r="PUJ19" s="1352"/>
      <c r="PUO19" s="789"/>
      <c r="PUP19" s="1352"/>
      <c r="PUU19" s="789"/>
      <c r="PUV19" s="1352"/>
      <c r="PVA19" s="789"/>
      <c r="PVB19" s="1352"/>
      <c r="PVG19" s="789"/>
      <c r="PVH19" s="1352"/>
      <c r="PVM19" s="789"/>
      <c r="PVN19" s="1352"/>
      <c r="PVS19" s="789"/>
      <c r="PVT19" s="1352"/>
      <c r="PVY19" s="789"/>
      <c r="PVZ19" s="1352"/>
      <c r="PWE19" s="789"/>
      <c r="PWF19" s="1352"/>
      <c r="PWK19" s="789"/>
      <c r="PWL19" s="1352"/>
      <c r="PWQ19" s="789"/>
      <c r="PWR19" s="1352"/>
      <c r="PWW19" s="789"/>
      <c r="PWX19" s="1352"/>
      <c r="PXC19" s="789"/>
      <c r="PXD19" s="1352"/>
      <c r="PXI19" s="789"/>
      <c r="PXJ19" s="1352"/>
      <c r="PXO19" s="789"/>
      <c r="PXP19" s="1352"/>
      <c r="PXU19" s="789"/>
      <c r="PXV19" s="1352"/>
      <c r="PYA19" s="789"/>
      <c r="PYB19" s="1352"/>
      <c r="PYG19" s="789"/>
      <c r="PYH19" s="1352"/>
      <c r="PYM19" s="789"/>
      <c r="PYN19" s="1352"/>
      <c r="PYS19" s="789"/>
      <c r="PYT19" s="1352"/>
      <c r="PYY19" s="789"/>
      <c r="PYZ19" s="1352"/>
      <c r="PZE19" s="789"/>
      <c r="PZF19" s="1352"/>
      <c r="PZK19" s="789"/>
      <c r="PZL19" s="1352"/>
      <c r="PZQ19" s="789"/>
      <c r="PZR19" s="1352"/>
      <c r="PZW19" s="789"/>
      <c r="PZX19" s="1352"/>
      <c r="QAC19" s="789"/>
      <c r="QAD19" s="1352"/>
      <c r="QAI19" s="789"/>
      <c r="QAJ19" s="1352"/>
      <c r="QAO19" s="789"/>
      <c r="QAP19" s="1352"/>
      <c r="QAU19" s="789"/>
      <c r="QAV19" s="1352"/>
      <c r="QBA19" s="789"/>
      <c r="QBB19" s="1352"/>
      <c r="QBG19" s="789"/>
      <c r="QBH19" s="1352"/>
      <c r="QBM19" s="789"/>
      <c r="QBN19" s="1352"/>
      <c r="QBS19" s="789"/>
      <c r="QBT19" s="1352"/>
      <c r="QBY19" s="789"/>
      <c r="QBZ19" s="1352"/>
      <c r="QCE19" s="789"/>
      <c r="QCF19" s="1352"/>
      <c r="QCK19" s="789"/>
      <c r="QCL19" s="1352"/>
      <c r="QCQ19" s="789"/>
      <c r="QCR19" s="1352"/>
      <c r="QCW19" s="789"/>
      <c r="QCX19" s="1352"/>
      <c r="QDC19" s="789"/>
      <c r="QDD19" s="1352"/>
      <c r="QDI19" s="789"/>
      <c r="QDJ19" s="1352"/>
      <c r="QDO19" s="789"/>
      <c r="QDP19" s="1352"/>
      <c r="QDU19" s="789"/>
      <c r="QDV19" s="1352"/>
      <c r="QEA19" s="789"/>
      <c r="QEB19" s="1352"/>
      <c r="QEG19" s="789"/>
      <c r="QEH19" s="1352"/>
      <c r="QEM19" s="789"/>
      <c r="QEN19" s="1352"/>
      <c r="QES19" s="789"/>
      <c r="QET19" s="1352"/>
      <c r="QEY19" s="789"/>
      <c r="QEZ19" s="1352"/>
      <c r="QFE19" s="789"/>
      <c r="QFF19" s="1352"/>
      <c r="QFK19" s="789"/>
      <c r="QFL19" s="1352"/>
      <c r="QFQ19" s="789"/>
      <c r="QFR19" s="1352"/>
      <c r="QFW19" s="789"/>
      <c r="QFX19" s="1352"/>
      <c r="QGC19" s="789"/>
      <c r="QGD19" s="1352"/>
      <c r="QGI19" s="789"/>
      <c r="QGJ19" s="1352"/>
      <c r="QGO19" s="789"/>
      <c r="QGP19" s="1352"/>
      <c r="QGU19" s="789"/>
      <c r="QGV19" s="1352"/>
      <c r="QHA19" s="789"/>
      <c r="QHB19" s="1352"/>
      <c r="QHG19" s="789"/>
      <c r="QHH19" s="1352"/>
      <c r="QHM19" s="789"/>
      <c r="QHN19" s="1352"/>
      <c r="QHS19" s="789"/>
      <c r="QHT19" s="1352"/>
      <c r="QHY19" s="789"/>
      <c r="QHZ19" s="1352"/>
      <c r="QIE19" s="789"/>
      <c r="QIF19" s="1352"/>
      <c r="QIK19" s="789"/>
      <c r="QIL19" s="1352"/>
      <c r="QIQ19" s="789"/>
      <c r="QIR19" s="1352"/>
      <c r="QIW19" s="789"/>
      <c r="QIX19" s="1352"/>
      <c r="QJC19" s="789"/>
      <c r="QJD19" s="1352"/>
      <c r="QJI19" s="789"/>
      <c r="QJJ19" s="1352"/>
      <c r="QJO19" s="789"/>
      <c r="QJP19" s="1352"/>
      <c r="QJU19" s="789"/>
      <c r="QJV19" s="1352"/>
      <c r="QKA19" s="789"/>
      <c r="QKB19" s="1352"/>
      <c r="QKG19" s="789"/>
      <c r="QKH19" s="1352"/>
      <c r="QKM19" s="789"/>
      <c r="QKN19" s="1352"/>
      <c r="QKS19" s="789"/>
      <c r="QKT19" s="1352"/>
      <c r="QKY19" s="789"/>
      <c r="QKZ19" s="1352"/>
      <c r="QLE19" s="789"/>
      <c r="QLF19" s="1352"/>
      <c r="QLK19" s="789"/>
      <c r="QLL19" s="1352"/>
      <c r="QLQ19" s="789"/>
      <c r="QLR19" s="1352"/>
      <c r="QLW19" s="789"/>
      <c r="QLX19" s="1352"/>
      <c r="QMC19" s="789"/>
      <c r="QMD19" s="1352"/>
      <c r="QMI19" s="789"/>
      <c r="QMJ19" s="1352"/>
      <c r="QMO19" s="789"/>
      <c r="QMP19" s="1352"/>
      <c r="QMU19" s="789"/>
      <c r="QMV19" s="1352"/>
      <c r="QNA19" s="789"/>
      <c r="QNB19" s="1352"/>
      <c r="QNG19" s="789"/>
      <c r="QNH19" s="1352"/>
      <c r="QNM19" s="789"/>
      <c r="QNN19" s="1352"/>
      <c r="QNS19" s="789"/>
      <c r="QNT19" s="1352"/>
      <c r="QNY19" s="789"/>
      <c r="QNZ19" s="1352"/>
      <c r="QOE19" s="789"/>
      <c r="QOF19" s="1352"/>
      <c r="QOK19" s="789"/>
      <c r="QOL19" s="1352"/>
      <c r="QOQ19" s="789"/>
      <c r="QOR19" s="1352"/>
      <c r="QOW19" s="789"/>
      <c r="QOX19" s="1352"/>
      <c r="QPC19" s="789"/>
      <c r="QPD19" s="1352"/>
      <c r="QPI19" s="789"/>
      <c r="QPJ19" s="1352"/>
      <c r="QPO19" s="789"/>
      <c r="QPP19" s="1352"/>
      <c r="QPU19" s="789"/>
      <c r="QPV19" s="1352"/>
      <c r="QQA19" s="789"/>
      <c r="QQB19" s="1352"/>
      <c r="QQG19" s="789"/>
      <c r="QQH19" s="1352"/>
      <c r="QQM19" s="789"/>
      <c r="QQN19" s="1352"/>
      <c r="QQS19" s="789"/>
      <c r="QQT19" s="1352"/>
      <c r="QQY19" s="789"/>
      <c r="QQZ19" s="1352"/>
      <c r="QRE19" s="789"/>
      <c r="QRF19" s="1352"/>
      <c r="QRK19" s="789"/>
      <c r="QRL19" s="1352"/>
      <c r="QRQ19" s="789"/>
      <c r="QRR19" s="1352"/>
      <c r="QRW19" s="789"/>
      <c r="QRX19" s="1352"/>
      <c r="QSC19" s="789"/>
      <c r="QSD19" s="1352"/>
      <c r="QSI19" s="789"/>
      <c r="QSJ19" s="1352"/>
      <c r="QSO19" s="789"/>
      <c r="QSP19" s="1352"/>
      <c r="QSU19" s="789"/>
      <c r="QSV19" s="1352"/>
      <c r="QTA19" s="789"/>
      <c r="QTB19" s="1352"/>
      <c r="QTG19" s="789"/>
      <c r="QTH19" s="1352"/>
      <c r="QTM19" s="789"/>
      <c r="QTN19" s="1352"/>
      <c r="QTS19" s="789"/>
      <c r="QTT19" s="1352"/>
      <c r="QTY19" s="789"/>
      <c r="QTZ19" s="1352"/>
      <c r="QUE19" s="789"/>
      <c r="QUF19" s="1352"/>
      <c r="QUK19" s="789"/>
      <c r="QUL19" s="1352"/>
      <c r="QUQ19" s="789"/>
      <c r="QUR19" s="1352"/>
      <c r="QUW19" s="789"/>
      <c r="QUX19" s="1352"/>
      <c r="QVC19" s="789"/>
      <c r="QVD19" s="1352"/>
      <c r="QVI19" s="789"/>
      <c r="QVJ19" s="1352"/>
      <c r="QVO19" s="789"/>
      <c r="QVP19" s="1352"/>
      <c r="QVU19" s="789"/>
      <c r="QVV19" s="1352"/>
      <c r="QWA19" s="789"/>
      <c r="QWB19" s="1352"/>
      <c r="QWG19" s="789"/>
      <c r="QWH19" s="1352"/>
      <c r="QWM19" s="789"/>
      <c r="QWN19" s="1352"/>
      <c r="QWS19" s="789"/>
      <c r="QWT19" s="1352"/>
      <c r="QWY19" s="789"/>
      <c r="QWZ19" s="1352"/>
      <c r="QXE19" s="789"/>
      <c r="QXF19" s="1352"/>
      <c r="QXK19" s="789"/>
      <c r="QXL19" s="1352"/>
      <c r="QXQ19" s="789"/>
      <c r="QXR19" s="1352"/>
      <c r="QXW19" s="789"/>
      <c r="QXX19" s="1352"/>
      <c r="QYC19" s="789"/>
      <c r="QYD19" s="1352"/>
      <c r="QYI19" s="789"/>
      <c r="QYJ19" s="1352"/>
      <c r="QYO19" s="789"/>
      <c r="QYP19" s="1352"/>
      <c r="QYU19" s="789"/>
      <c r="QYV19" s="1352"/>
      <c r="QZA19" s="789"/>
      <c r="QZB19" s="1352"/>
      <c r="QZG19" s="789"/>
      <c r="QZH19" s="1352"/>
      <c r="QZM19" s="789"/>
      <c r="QZN19" s="1352"/>
      <c r="QZS19" s="789"/>
      <c r="QZT19" s="1352"/>
      <c r="QZY19" s="789"/>
      <c r="QZZ19" s="1352"/>
      <c r="RAE19" s="789"/>
      <c r="RAF19" s="1352"/>
      <c r="RAK19" s="789"/>
      <c r="RAL19" s="1352"/>
      <c r="RAQ19" s="789"/>
      <c r="RAR19" s="1352"/>
      <c r="RAW19" s="789"/>
      <c r="RAX19" s="1352"/>
      <c r="RBC19" s="789"/>
      <c r="RBD19" s="1352"/>
      <c r="RBI19" s="789"/>
      <c r="RBJ19" s="1352"/>
      <c r="RBO19" s="789"/>
      <c r="RBP19" s="1352"/>
      <c r="RBU19" s="789"/>
      <c r="RBV19" s="1352"/>
      <c r="RCA19" s="789"/>
      <c r="RCB19" s="1352"/>
      <c r="RCG19" s="789"/>
      <c r="RCH19" s="1352"/>
      <c r="RCM19" s="789"/>
      <c r="RCN19" s="1352"/>
      <c r="RCS19" s="789"/>
      <c r="RCT19" s="1352"/>
      <c r="RCY19" s="789"/>
      <c r="RCZ19" s="1352"/>
      <c r="RDE19" s="789"/>
      <c r="RDF19" s="1352"/>
      <c r="RDK19" s="789"/>
      <c r="RDL19" s="1352"/>
      <c r="RDQ19" s="789"/>
      <c r="RDR19" s="1352"/>
      <c r="RDW19" s="789"/>
      <c r="RDX19" s="1352"/>
      <c r="REC19" s="789"/>
      <c r="RED19" s="1352"/>
      <c r="REI19" s="789"/>
      <c r="REJ19" s="1352"/>
      <c r="REO19" s="789"/>
      <c r="REP19" s="1352"/>
      <c r="REU19" s="789"/>
      <c r="REV19" s="1352"/>
      <c r="RFA19" s="789"/>
      <c r="RFB19" s="1352"/>
      <c r="RFG19" s="789"/>
      <c r="RFH19" s="1352"/>
      <c r="RFM19" s="789"/>
      <c r="RFN19" s="1352"/>
      <c r="RFS19" s="789"/>
      <c r="RFT19" s="1352"/>
      <c r="RFY19" s="789"/>
      <c r="RFZ19" s="1352"/>
      <c r="RGE19" s="789"/>
      <c r="RGF19" s="1352"/>
      <c r="RGK19" s="789"/>
      <c r="RGL19" s="1352"/>
      <c r="RGQ19" s="789"/>
      <c r="RGR19" s="1352"/>
      <c r="RGW19" s="789"/>
      <c r="RGX19" s="1352"/>
      <c r="RHC19" s="789"/>
      <c r="RHD19" s="1352"/>
      <c r="RHI19" s="789"/>
      <c r="RHJ19" s="1352"/>
      <c r="RHO19" s="789"/>
      <c r="RHP19" s="1352"/>
      <c r="RHU19" s="789"/>
      <c r="RHV19" s="1352"/>
      <c r="RIA19" s="789"/>
      <c r="RIB19" s="1352"/>
      <c r="RIG19" s="789"/>
      <c r="RIH19" s="1352"/>
      <c r="RIM19" s="789"/>
      <c r="RIN19" s="1352"/>
      <c r="RIS19" s="789"/>
      <c r="RIT19" s="1352"/>
      <c r="RIY19" s="789"/>
      <c r="RIZ19" s="1352"/>
      <c r="RJE19" s="789"/>
      <c r="RJF19" s="1352"/>
      <c r="RJK19" s="789"/>
      <c r="RJL19" s="1352"/>
      <c r="RJQ19" s="789"/>
      <c r="RJR19" s="1352"/>
      <c r="RJW19" s="789"/>
      <c r="RJX19" s="1352"/>
      <c r="RKC19" s="789"/>
      <c r="RKD19" s="1352"/>
      <c r="RKI19" s="789"/>
      <c r="RKJ19" s="1352"/>
      <c r="RKO19" s="789"/>
      <c r="RKP19" s="1352"/>
      <c r="RKU19" s="789"/>
      <c r="RKV19" s="1352"/>
      <c r="RLA19" s="789"/>
      <c r="RLB19" s="1352"/>
      <c r="RLG19" s="789"/>
      <c r="RLH19" s="1352"/>
      <c r="RLM19" s="789"/>
      <c r="RLN19" s="1352"/>
      <c r="RLS19" s="789"/>
      <c r="RLT19" s="1352"/>
      <c r="RLY19" s="789"/>
      <c r="RLZ19" s="1352"/>
      <c r="RME19" s="789"/>
      <c r="RMF19" s="1352"/>
      <c r="RMK19" s="789"/>
      <c r="RML19" s="1352"/>
      <c r="RMQ19" s="789"/>
      <c r="RMR19" s="1352"/>
      <c r="RMW19" s="789"/>
      <c r="RMX19" s="1352"/>
      <c r="RNC19" s="789"/>
      <c r="RND19" s="1352"/>
      <c r="RNI19" s="789"/>
      <c r="RNJ19" s="1352"/>
      <c r="RNO19" s="789"/>
      <c r="RNP19" s="1352"/>
      <c r="RNU19" s="789"/>
      <c r="RNV19" s="1352"/>
      <c r="ROA19" s="789"/>
      <c r="ROB19" s="1352"/>
      <c r="ROG19" s="789"/>
      <c r="ROH19" s="1352"/>
      <c r="ROM19" s="789"/>
      <c r="RON19" s="1352"/>
      <c r="ROS19" s="789"/>
      <c r="ROT19" s="1352"/>
      <c r="ROY19" s="789"/>
      <c r="ROZ19" s="1352"/>
      <c r="RPE19" s="789"/>
      <c r="RPF19" s="1352"/>
      <c r="RPK19" s="789"/>
      <c r="RPL19" s="1352"/>
      <c r="RPQ19" s="789"/>
      <c r="RPR19" s="1352"/>
      <c r="RPW19" s="789"/>
      <c r="RPX19" s="1352"/>
      <c r="RQC19" s="789"/>
      <c r="RQD19" s="1352"/>
      <c r="RQI19" s="789"/>
      <c r="RQJ19" s="1352"/>
      <c r="RQO19" s="789"/>
      <c r="RQP19" s="1352"/>
      <c r="RQU19" s="789"/>
      <c r="RQV19" s="1352"/>
      <c r="RRA19" s="789"/>
      <c r="RRB19" s="1352"/>
      <c r="RRG19" s="789"/>
      <c r="RRH19" s="1352"/>
      <c r="RRM19" s="789"/>
      <c r="RRN19" s="1352"/>
      <c r="RRS19" s="789"/>
      <c r="RRT19" s="1352"/>
      <c r="RRY19" s="789"/>
      <c r="RRZ19" s="1352"/>
      <c r="RSE19" s="789"/>
      <c r="RSF19" s="1352"/>
      <c r="RSK19" s="789"/>
      <c r="RSL19" s="1352"/>
      <c r="RSQ19" s="789"/>
      <c r="RSR19" s="1352"/>
      <c r="RSW19" s="789"/>
      <c r="RSX19" s="1352"/>
      <c r="RTC19" s="789"/>
      <c r="RTD19" s="1352"/>
      <c r="RTI19" s="789"/>
      <c r="RTJ19" s="1352"/>
      <c r="RTO19" s="789"/>
      <c r="RTP19" s="1352"/>
      <c r="RTU19" s="789"/>
      <c r="RTV19" s="1352"/>
      <c r="RUA19" s="789"/>
      <c r="RUB19" s="1352"/>
      <c r="RUG19" s="789"/>
      <c r="RUH19" s="1352"/>
      <c r="RUM19" s="789"/>
      <c r="RUN19" s="1352"/>
      <c r="RUS19" s="789"/>
      <c r="RUT19" s="1352"/>
      <c r="RUY19" s="789"/>
      <c r="RUZ19" s="1352"/>
      <c r="RVE19" s="789"/>
      <c r="RVF19" s="1352"/>
      <c r="RVK19" s="789"/>
      <c r="RVL19" s="1352"/>
      <c r="RVQ19" s="789"/>
      <c r="RVR19" s="1352"/>
      <c r="RVW19" s="789"/>
      <c r="RVX19" s="1352"/>
      <c r="RWC19" s="789"/>
      <c r="RWD19" s="1352"/>
      <c r="RWI19" s="789"/>
      <c r="RWJ19" s="1352"/>
      <c r="RWO19" s="789"/>
      <c r="RWP19" s="1352"/>
      <c r="RWU19" s="789"/>
      <c r="RWV19" s="1352"/>
      <c r="RXA19" s="789"/>
      <c r="RXB19" s="1352"/>
      <c r="RXG19" s="789"/>
      <c r="RXH19" s="1352"/>
      <c r="RXM19" s="789"/>
      <c r="RXN19" s="1352"/>
      <c r="RXS19" s="789"/>
      <c r="RXT19" s="1352"/>
      <c r="RXY19" s="789"/>
      <c r="RXZ19" s="1352"/>
      <c r="RYE19" s="789"/>
      <c r="RYF19" s="1352"/>
      <c r="RYK19" s="789"/>
      <c r="RYL19" s="1352"/>
      <c r="RYQ19" s="789"/>
      <c r="RYR19" s="1352"/>
      <c r="RYW19" s="789"/>
      <c r="RYX19" s="1352"/>
      <c r="RZC19" s="789"/>
      <c r="RZD19" s="1352"/>
      <c r="RZI19" s="789"/>
      <c r="RZJ19" s="1352"/>
      <c r="RZO19" s="789"/>
      <c r="RZP19" s="1352"/>
      <c r="RZU19" s="789"/>
      <c r="RZV19" s="1352"/>
      <c r="SAA19" s="789"/>
      <c r="SAB19" s="1352"/>
      <c r="SAG19" s="789"/>
      <c r="SAH19" s="1352"/>
      <c r="SAM19" s="789"/>
      <c r="SAN19" s="1352"/>
      <c r="SAS19" s="789"/>
      <c r="SAT19" s="1352"/>
      <c r="SAY19" s="789"/>
      <c r="SAZ19" s="1352"/>
      <c r="SBE19" s="789"/>
      <c r="SBF19" s="1352"/>
      <c r="SBK19" s="789"/>
      <c r="SBL19" s="1352"/>
      <c r="SBQ19" s="789"/>
      <c r="SBR19" s="1352"/>
      <c r="SBW19" s="789"/>
      <c r="SBX19" s="1352"/>
      <c r="SCC19" s="789"/>
      <c r="SCD19" s="1352"/>
      <c r="SCI19" s="789"/>
      <c r="SCJ19" s="1352"/>
      <c r="SCO19" s="789"/>
      <c r="SCP19" s="1352"/>
      <c r="SCU19" s="789"/>
      <c r="SCV19" s="1352"/>
      <c r="SDA19" s="789"/>
      <c r="SDB19" s="1352"/>
      <c r="SDG19" s="789"/>
      <c r="SDH19" s="1352"/>
      <c r="SDM19" s="789"/>
      <c r="SDN19" s="1352"/>
      <c r="SDS19" s="789"/>
      <c r="SDT19" s="1352"/>
      <c r="SDY19" s="789"/>
      <c r="SDZ19" s="1352"/>
      <c r="SEE19" s="789"/>
      <c r="SEF19" s="1352"/>
      <c r="SEK19" s="789"/>
      <c r="SEL19" s="1352"/>
      <c r="SEQ19" s="789"/>
      <c r="SER19" s="1352"/>
      <c r="SEW19" s="789"/>
      <c r="SEX19" s="1352"/>
      <c r="SFC19" s="789"/>
      <c r="SFD19" s="1352"/>
      <c r="SFI19" s="789"/>
      <c r="SFJ19" s="1352"/>
      <c r="SFO19" s="789"/>
      <c r="SFP19" s="1352"/>
      <c r="SFU19" s="789"/>
      <c r="SFV19" s="1352"/>
      <c r="SGA19" s="789"/>
      <c r="SGB19" s="1352"/>
      <c r="SGG19" s="789"/>
      <c r="SGH19" s="1352"/>
      <c r="SGM19" s="789"/>
      <c r="SGN19" s="1352"/>
      <c r="SGS19" s="789"/>
      <c r="SGT19" s="1352"/>
      <c r="SGY19" s="789"/>
      <c r="SGZ19" s="1352"/>
      <c r="SHE19" s="789"/>
      <c r="SHF19" s="1352"/>
      <c r="SHK19" s="789"/>
      <c r="SHL19" s="1352"/>
      <c r="SHQ19" s="789"/>
      <c r="SHR19" s="1352"/>
      <c r="SHW19" s="789"/>
      <c r="SHX19" s="1352"/>
      <c r="SIC19" s="789"/>
      <c r="SID19" s="1352"/>
      <c r="SII19" s="789"/>
      <c r="SIJ19" s="1352"/>
      <c r="SIO19" s="789"/>
      <c r="SIP19" s="1352"/>
      <c r="SIU19" s="789"/>
      <c r="SIV19" s="1352"/>
      <c r="SJA19" s="789"/>
      <c r="SJB19" s="1352"/>
      <c r="SJG19" s="789"/>
      <c r="SJH19" s="1352"/>
      <c r="SJM19" s="789"/>
      <c r="SJN19" s="1352"/>
      <c r="SJS19" s="789"/>
      <c r="SJT19" s="1352"/>
      <c r="SJY19" s="789"/>
      <c r="SJZ19" s="1352"/>
      <c r="SKE19" s="789"/>
      <c r="SKF19" s="1352"/>
      <c r="SKK19" s="789"/>
      <c r="SKL19" s="1352"/>
      <c r="SKQ19" s="789"/>
      <c r="SKR19" s="1352"/>
      <c r="SKW19" s="789"/>
      <c r="SKX19" s="1352"/>
      <c r="SLC19" s="789"/>
      <c r="SLD19" s="1352"/>
      <c r="SLI19" s="789"/>
      <c r="SLJ19" s="1352"/>
      <c r="SLO19" s="789"/>
      <c r="SLP19" s="1352"/>
      <c r="SLU19" s="789"/>
      <c r="SLV19" s="1352"/>
      <c r="SMA19" s="789"/>
      <c r="SMB19" s="1352"/>
      <c r="SMG19" s="789"/>
      <c r="SMH19" s="1352"/>
      <c r="SMM19" s="789"/>
      <c r="SMN19" s="1352"/>
      <c r="SMS19" s="789"/>
      <c r="SMT19" s="1352"/>
      <c r="SMY19" s="789"/>
      <c r="SMZ19" s="1352"/>
      <c r="SNE19" s="789"/>
      <c r="SNF19" s="1352"/>
      <c r="SNK19" s="789"/>
      <c r="SNL19" s="1352"/>
      <c r="SNQ19" s="789"/>
      <c r="SNR19" s="1352"/>
      <c r="SNW19" s="789"/>
      <c r="SNX19" s="1352"/>
      <c r="SOC19" s="789"/>
      <c r="SOD19" s="1352"/>
      <c r="SOI19" s="789"/>
      <c r="SOJ19" s="1352"/>
      <c r="SOO19" s="789"/>
      <c r="SOP19" s="1352"/>
      <c r="SOU19" s="789"/>
      <c r="SOV19" s="1352"/>
      <c r="SPA19" s="789"/>
      <c r="SPB19" s="1352"/>
      <c r="SPG19" s="789"/>
      <c r="SPH19" s="1352"/>
      <c r="SPM19" s="789"/>
      <c r="SPN19" s="1352"/>
      <c r="SPS19" s="789"/>
      <c r="SPT19" s="1352"/>
      <c r="SPY19" s="789"/>
      <c r="SPZ19" s="1352"/>
      <c r="SQE19" s="789"/>
      <c r="SQF19" s="1352"/>
      <c r="SQK19" s="789"/>
      <c r="SQL19" s="1352"/>
      <c r="SQQ19" s="789"/>
      <c r="SQR19" s="1352"/>
      <c r="SQW19" s="789"/>
      <c r="SQX19" s="1352"/>
      <c r="SRC19" s="789"/>
      <c r="SRD19" s="1352"/>
      <c r="SRI19" s="789"/>
      <c r="SRJ19" s="1352"/>
      <c r="SRO19" s="789"/>
      <c r="SRP19" s="1352"/>
      <c r="SRU19" s="789"/>
      <c r="SRV19" s="1352"/>
      <c r="SSA19" s="789"/>
      <c r="SSB19" s="1352"/>
      <c r="SSG19" s="789"/>
      <c r="SSH19" s="1352"/>
      <c r="SSM19" s="789"/>
      <c r="SSN19" s="1352"/>
      <c r="SSS19" s="789"/>
      <c r="SST19" s="1352"/>
      <c r="SSY19" s="789"/>
      <c r="SSZ19" s="1352"/>
      <c r="STE19" s="789"/>
      <c r="STF19" s="1352"/>
      <c r="STK19" s="789"/>
      <c r="STL19" s="1352"/>
      <c r="STQ19" s="789"/>
      <c r="STR19" s="1352"/>
      <c r="STW19" s="789"/>
      <c r="STX19" s="1352"/>
      <c r="SUC19" s="789"/>
      <c r="SUD19" s="1352"/>
      <c r="SUI19" s="789"/>
      <c r="SUJ19" s="1352"/>
      <c r="SUO19" s="789"/>
      <c r="SUP19" s="1352"/>
      <c r="SUU19" s="789"/>
      <c r="SUV19" s="1352"/>
      <c r="SVA19" s="789"/>
      <c r="SVB19" s="1352"/>
      <c r="SVG19" s="789"/>
      <c r="SVH19" s="1352"/>
      <c r="SVM19" s="789"/>
      <c r="SVN19" s="1352"/>
      <c r="SVS19" s="789"/>
      <c r="SVT19" s="1352"/>
      <c r="SVY19" s="789"/>
      <c r="SVZ19" s="1352"/>
      <c r="SWE19" s="789"/>
      <c r="SWF19" s="1352"/>
      <c r="SWK19" s="789"/>
      <c r="SWL19" s="1352"/>
      <c r="SWQ19" s="789"/>
      <c r="SWR19" s="1352"/>
      <c r="SWW19" s="789"/>
      <c r="SWX19" s="1352"/>
      <c r="SXC19" s="789"/>
      <c r="SXD19" s="1352"/>
      <c r="SXI19" s="789"/>
      <c r="SXJ19" s="1352"/>
      <c r="SXO19" s="789"/>
      <c r="SXP19" s="1352"/>
      <c r="SXU19" s="789"/>
      <c r="SXV19" s="1352"/>
      <c r="SYA19" s="789"/>
      <c r="SYB19" s="1352"/>
      <c r="SYG19" s="789"/>
      <c r="SYH19" s="1352"/>
      <c r="SYM19" s="789"/>
      <c r="SYN19" s="1352"/>
      <c r="SYS19" s="789"/>
      <c r="SYT19" s="1352"/>
      <c r="SYY19" s="789"/>
      <c r="SYZ19" s="1352"/>
      <c r="SZE19" s="789"/>
      <c r="SZF19" s="1352"/>
      <c r="SZK19" s="789"/>
      <c r="SZL19" s="1352"/>
      <c r="SZQ19" s="789"/>
      <c r="SZR19" s="1352"/>
      <c r="SZW19" s="789"/>
      <c r="SZX19" s="1352"/>
      <c r="TAC19" s="789"/>
      <c r="TAD19" s="1352"/>
      <c r="TAI19" s="789"/>
      <c r="TAJ19" s="1352"/>
      <c r="TAO19" s="789"/>
      <c r="TAP19" s="1352"/>
      <c r="TAU19" s="789"/>
      <c r="TAV19" s="1352"/>
      <c r="TBA19" s="789"/>
      <c r="TBB19" s="1352"/>
      <c r="TBG19" s="789"/>
      <c r="TBH19" s="1352"/>
      <c r="TBM19" s="789"/>
      <c r="TBN19" s="1352"/>
      <c r="TBS19" s="789"/>
      <c r="TBT19" s="1352"/>
      <c r="TBY19" s="789"/>
      <c r="TBZ19" s="1352"/>
      <c r="TCE19" s="789"/>
      <c r="TCF19" s="1352"/>
      <c r="TCK19" s="789"/>
      <c r="TCL19" s="1352"/>
      <c r="TCQ19" s="789"/>
      <c r="TCR19" s="1352"/>
      <c r="TCW19" s="789"/>
      <c r="TCX19" s="1352"/>
      <c r="TDC19" s="789"/>
      <c r="TDD19" s="1352"/>
      <c r="TDI19" s="789"/>
      <c r="TDJ19" s="1352"/>
      <c r="TDO19" s="789"/>
      <c r="TDP19" s="1352"/>
      <c r="TDU19" s="789"/>
      <c r="TDV19" s="1352"/>
      <c r="TEA19" s="789"/>
      <c r="TEB19" s="1352"/>
      <c r="TEG19" s="789"/>
      <c r="TEH19" s="1352"/>
      <c r="TEM19" s="789"/>
      <c r="TEN19" s="1352"/>
      <c r="TES19" s="789"/>
      <c r="TET19" s="1352"/>
      <c r="TEY19" s="789"/>
      <c r="TEZ19" s="1352"/>
      <c r="TFE19" s="789"/>
      <c r="TFF19" s="1352"/>
      <c r="TFK19" s="789"/>
      <c r="TFL19" s="1352"/>
      <c r="TFQ19" s="789"/>
      <c r="TFR19" s="1352"/>
      <c r="TFW19" s="789"/>
      <c r="TFX19" s="1352"/>
      <c r="TGC19" s="789"/>
      <c r="TGD19" s="1352"/>
      <c r="TGI19" s="789"/>
      <c r="TGJ19" s="1352"/>
      <c r="TGO19" s="789"/>
      <c r="TGP19" s="1352"/>
      <c r="TGU19" s="789"/>
      <c r="TGV19" s="1352"/>
      <c r="THA19" s="789"/>
      <c r="THB19" s="1352"/>
      <c r="THG19" s="789"/>
      <c r="THH19" s="1352"/>
      <c r="THM19" s="789"/>
      <c r="THN19" s="1352"/>
      <c r="THS19" s="789"/>
      <c r="THT19" s="1352"/>
      <c r="THY19" s="789"/>
      <c r="THZ19" s="1352"/>
      <c r="TIE19" s="789"/>
      <c r="TIF19" s="1352"/>
      <c r="TIK19" s="789"/>
      <c r="TIL19" s="1352"/>
      <c r="TIQ19" s="789"/>
      <c r="TIR19" s="1352"/>
      <c r="TIW19" s="789"/>
      <c r="TIX19" s="1352"/>
      <c r="TJC19" s="789"/>
      <c r="TJD19" s="1352"/>
      <c r="TJI19" s="789"/>
      <c r="TJJ19" s="1352"/>
      <c r="TJO19" s="789"/>
      <c r="TJP19" s="1352"/>
      <c r="TJU19" s="789"/>
      <c r="TJV19" s="1352"/>
      <c r="TKA19" s="789"/>
      <c r="TKB19" s="1352"/>
      <c r="TKG19" s="789"/>
      <c r="TKH19" s="1352"/>
      <c r="TKM19" s="789"/>
      <c r="TKN19" s="1352"/>
      <c r="TKS19" s="789"/>
      <c r="TKT19" s="1352"/>
      <c r="TKY19" s="789"/>
      <c r="TKZ19" s="1352"/>
      <c r="TLE19" s="789"/>
      <c r="TLF19" s="1352"/>
      <c r="TLK19" s="789"/>
      <c r="TLL19" s="1352"/>
      <c r="TLQ19" s="789"/>
      <c r="TLR19" s="1352"/>
      <c r="TLW19" s="789"/>
      <c r="TLX19" s="1352"/>
      <c r="TMC19" s="789"/>
      <c r="TMD19" s="1352"/>
      <c r="TMI19" s="789"/>
      <c r="TMJ19" s="1352"/>
      <c r="TMO19" s="789"/>
      <c r="TMP19" s="1352"/>
      <c r="TMU19" s="789"/>
      <c r="TMV19" s="1352"/>
      <c r="TNA19" s="789"/>
      <c r="TNB19" s="1352"/>
      <c r="TNG19" s="789"/>
      <c r="TNH19" s="1352"/>
      <c r="TNM19" s="789"/>
      <c r="TNN19" s="1352"/>
      <c r="TNS19" s="789"/>
      <c r="TNT19" s="1352"/>
      <c r="TNY19" s="789"/>
      <c r="TNZ19" s="1352"/>
      <c r="TOE19" s="789"/>
      <c r="TOF19" s="1352"/>
      <c r="TOK19" s="789"/>
      <c r="TOL19" s="1352"/>
      <c r="TOQ19" s="789"/>
      <c r="TOR19" s="1352"/>
      <c r="TOW19" s="789"/>
      <c r="TOX19" s="1352"/>
      <c r="TPC19" s="789"/>
      <c r="TPD19" s="1352"/>
      <c r="TPI19" s="789"/>
      <c r="TPJ19" s="1352"/>
      <c r="TPO19" s="789"/>
      <c r="TPP19" s="1352"/>
      <c r="TPU19" s="789"/>
      <c r="TPV19" s="1352"/>
      <c r="TQA19" s="789"/>
      <c r="TQB19" s="1352"/>
      <c r="TQG19" s="789"/>
      <c r="TQH19" s="1352"/>
      <c r="TQM19" s="789"/>
      <c r="TQN19" s="1352"/>
      <c r="TQS19" s="789"/>
      <c r="TQT19" s="1352"/>
      <c r="TQY19" s="789"/>
      <c r="TQZ19" s="1352"/>
      <c r="TRE19" s="789"/>
      <c r="TRF19" s="1352"/>
      <c r="TRK19" s="789"/>
      <c r="TRL19" s="1352"/>
      <c r="TRQ19" s="789"/>
      <c r="TRR19" s="1352"/>
      <c r="TRW19" s="789"/>
      <c r="TRX19" s="1352"/>
      <c r="TSC19" s="789"/>
      <c r="TSD19" s="1352"/>
      <c r="TSI19" s="789"/>
      <c r="TSJ19" s="1352"/>
      <c r="TSO19" s="789"/>
      <c r="TSP19" s="1352"/>
      <c r="TSU19" s="789"/>
      <c r="TSV19" s="1352"/>
      <c r="TTA19" s="789"/>
      <c r="TTB19" s="1352"/>
      <c r="TTG19" s="789"/>
      <c r="TTH19" s="1352"/>
      <c r="TTM19" s="789"/>
      <c r="TTN19" s="1352"/>
      <c r="TTS19" s="789"/>
      <c r="TTT19" s="1352"/>
      <c r="TTY19" s="789"/>
      <c r="TTZ19" s="1352"/>
      <c r="TUE19" s="789"/>
      <c r="TUF19" s="1352"/>
      <c r="TUK19" s="789"/>
      <c r="TUL19" s="1352"/>
      <c r="TUQ19" s="789"/>
      <c r="TUR19" s="1352"/>
      <c r="TUW19" s="789"/>
      <c r="TUX19" s="1352"/>
      <c r="TVC19" s="789"/>
      <c r="TVD19" s="1352"/>
      <c r="TVI19" s="789"/>
      <c r="TVJ19" s="1352"/>
      <c r="TVO19" s="789"/>
      <c r="TVP19" s="1352"/>
      <c r="TVU19" s="789"/>
      <c r="TVV19" s="1352"/>
      <c r="TWA19" s="789"/>
      <c r="TWB19" s="1352"/>
      <c r="TWG19" s="789"/>
      <c r="TWH19" s="1352"/>
      <c r="TWM19" s="789"/>
      <c r="TWN19" s="1352"/>
      <c r="TWS19" s="789"/>
      <c r="TWT19" s="1352"/>
      <c r="TWY19" s="789"/>
      <c r="TWZ19" s="1352"/>
      <c r="TXE19" s="789"/>
      <c r="TXF19" s="1352"/>
      <c r="TXK19" s="789"/>
      <c r="TXL19" s="1352"/>
      <c r="TXQ19" s="789"/>
      <c r="TXR19" s="1352"/>
      <c r="TXW19" s="789"/>
      <c r="TXX19" s="1352"/>
      <c r="TYC19" s="789"/>
      <c r="TYD19" s="1352"/>
      <c r="TYI19" s="789"/>
      <c r="TYJ19" s="1352"/>
      <c r="TYO19" s="789"/>
      <c r="TYP19" s="1352"/>
      <c r="TYU19" s="789"/>
      <c r="TYV19" s="1352"/>
      <c r="TZA19" s="789"/>
      <c r="TZB19" s="1352"/>
      <c r="TZG19" s="789"/>
      <c r="TZH19" s="1352"/>
      <c r="TZM19" s="789"/>
      <c r="TZN19" s="1352"/>
      <c r="TZS19" s="789"/>
      <c r="TZT19" s="1352"/>
      <c r="TZY19" s="789"/>
      <c r="TZZ19" s="1352"/>
      <c r="UAE19" s="789"/>
      <c r="UAF19" s="1352"/>
      <c r="UAK19" s="789"/>
      <c r="UAL19" s="1352"/>
      <c r="UAQ19" s="789"/>
      <c r="UAR19" s="1352"/>
      <c r="UAW19" s="789"/>
      <c r="UAX19" s="1352"/>
      <c r="UBC19" s="789"/>
      <c r="UBD19" s="1352"/>
      <c r="UBI19" s="789"/>
      <c r="UBJ19" s="1352"/>
      <c r="UBO19" s="789"/>
      <c r="UBP19" s="1352"/>
      <c r="UBU19" s="789"/>
      <c r="UBV19" s="1352"/>
      <c r="UCA19" s="789"/>
      <c r="UCB19" s="1352"/>
      <c r="UCG19" s="789"/>
      <c r="UCH19" s="1352"/>
      <c r="UCM19" s="789"/>
      <c r="UCN19" s="1352"/>
      <c r="UCS19" s="789"/>
      <c r="UCT19" s="1352"/>
      <c r="UCY19" s="789"/>
      <c r="UCZ19" s="1352"/>
      <c r="UDE19" s="789"/>
      <c r="UDF19" s="1352"/>
      <c r="UDK19" s="789"/>
      <c r="UDL19" s="1352"/>
      <c r="UDQ19" s="789"/>
      <c r="UDR19" s="1352"/>
      <c r="UDW19" s="789"/>
      <c r="UDX19" s="1352"/>
      <c r="UEC19" s="789"/>
      <c r="UED19" s="1352"/>
      <c r="UEI19" s="789"/>
      <c r="UEJ19" s="1352"/>
      <c r="UEO19" s="789"/>
      <c r="UEP19" s="1352"/>
      <c r="UEU19" s="789"/>
      <c r="UEV19" s="1352"/>
      <c r="UFA19" s="789"/>
      <c r="UFB19" s="1352"/>
      <c r="UFG19" s="789"/>
      <c r="UFH19" s="1352"/>
      <c r="UFM19" s="789"/>
      <c r="UFN19" s="1352"/>
      <c r="UFS19" s="789"/>
      <c r="UFT19" s="1352"/>
      <c r="UFY19" s="789"/>
      <c r="UFZ19" s="1352"/>
      <c r="UGE19" s="789"/>
      <c r="UGF19" s="1352"/>
      <c r="UGK19" s="789"/>
      <c r="UGL19" s="1352"/>
      <c r="UGQ19" s="789"/>
      <c r="UGR19" s="1352"/>
      <c r="UGW19" s="789"/>
      <c r="UGX19" s="1352"/>
      <c r="UHC19" s="789"/>
      <c r="UHD19" s="1352"/>
      <c r="UHI19" s="789"/>
      <c r="UHJ19" s="1352"/>
      <c r="UHO19" s="789"/>
      <c r="UHP19" s="1352"/>
      <c r="UHU19" s="789"/>
      <c r="UHV19" s="1352"/>
      <c r="UIA19" s="789"/>
      <c r="UIB19" s="1352"/>
      <c r="UIG19" s="789"/>
      <c r="UIH19" s="1352"/>
      <c r="UIM19" s="789"/>
      <c r="UIN19" s="1352"/>
      <c r="UIS19" s="789"/>
      <c r="UIT19" s="1352"/>
      <c r="UIY19" s="789"/>
      <c r="UIZ19" s="1352"/>
      <c r="UJE19" s="789"/>
      <c r="UJF19" s="1352"/>
      <c r="UJK19" s="789"/>
      <c r="UJL19" s="1352"/>
      <c r="UJQ19" s="789"/>
      <c r="UJR19" s="1352"/>
      <c r="UJW19" s="789"/>
      <c r="UJX19" s="1352"/>
      <c r="UKC19" s="789"/>
      <c r="UKD19" s="1352"/>
      <c r="UKI19" s="789"/>
      <c r="UKJ19" s="1352"/>
      <c r="UKO19" s="789"/>
      <c r="UKP19" s="1352"/>
      <c r="UKU19" s="789"/>
      <c r="UKV19" s="1352"/>
      <c r="ULA19" s="789"/>
      <c r="ULB19" s="1352"/>
      <c r="ULG19" s="789"/>
      <c r="ULH19" s="1352"/>
      <c r="ULM19" s="789"/>
      <c r="ULN19" s="1352"/>
      <c r="ULS19" s="789"/>
      <c r="ULT19" s="1352"/>
      <c r="ULY19" s="789"/>
      <c r="ULZ19" s="1352"/>
      <c r="UME19" s="789"/>
      <c r="UMF19" s="1352"/>
      <c r="UMK19" s="789"/>
      <c r="UML19" s="1352"/>
      <c r="UMQ19" s="789"/>
      <c r="UMR19" s="1352"/>
      <c r="UMW19" s="789"/>
      <c r="UMX19" s="1352"/>
      <c r="UNC19" s="789"/>
      <c r="UND19" s="1352"/>
      <c r="UNI19" s="789"/>
      <c r="UNJ19" s="1352"/>
      <c r="UNO19" s="789"/>
      <c r="UNP19" s="1352"/>
      <c r="UNU19" s="789"/>
      <c r="UNV19" s="1352"/>
      <c r="UOA19" s="789"/>
      <c r="UOB19" s="1352"/>
      <c r="UOG19" s="789"/>
      <c r="UOH19" s="1352"/>
      <c r="UOM19" s="789"/>
      <c r="UON19" s="1352"/>
      <c r="UOS19" s="789"/>
      <c r="UOT19" s="1352"/>
      <c r="UOY19" s="789"/>
      <c r="UOZ19" s="1352"/>
      <c r="UPE19" s="789"/>
      <c r="UPF19" s="1352"/>
      <c r="UPK19" s="789"/>
      <c r="UPL19" s="1352"/>
      <c r="UPQ19" s="789"/>
      <c r="UPR19" s="1352"/>
      <c r="UPW19" s="789"/>
      <c r="UPX19" s="1352"/>
      <c r="UQC19" s="789"/>
      <c r="UQD19" s="1352"/>
      <c r="UQI19" s="789"/>
      <c r="UQJ19" s="1352"/>
      <c r="UQO19" s="789"/>
      <c r="UQP19" s="1352"/>
      <c r="UQU19" s="789"/>
      <c r="UQV19" s="1352"/>
      <c r="URA19" s="789"/>
      <c r="URB19" s="1352"/>
      <c r="URG19" s="789"/>
      <c r="URH19" s="1352"/>
      <c r="URM19" s="789"/>
      <c r="URN19" s="1352"/>
      <c r="URS19" s="789"/>
      <c r="URT19" s="1352"/>
      <c r="URY19" s="789"/>
      <c r="URZ19" s="1352"/>
      <c r="USE19" s="789"/>
      <c r="USF19" s="1352"/>
      <c r="USK19" s="789"/>
      <c r="USL19" s="1352"/>
      <c r="USQ19" s="789"/>
      <c r="USR19" s="1352"/>
      <c r="USW19" s="789"/>
      <c r="USX19" s="1352"/>
      <c r="UTC19" s="789"/>
      <c r="UTD19" s="1352"/>
      <c r="UTI19" s="789"/>
      <c r="UTJ19" s="1352"/>
      <c r="UTO19" s="789"/>
      <c r="UTP19" s="1352"/>
      <c r="UTU19" s="789"/>
      <c r="UTV19" s="1352"/>
      <c r="UUA19" s="789"/>
      <c r="UUB19" s="1352"/>
      <c r="UUG19" s="789"/>
      <c r="UUH19" s="1352"/>
      <c r="UUM19" s="789"/>
      <c r="UUN19" s="1352"/>
      <c r="UUS19" s="789"/>
      <c r="UUT19" s="1352"/>
      <c r="UUY19" s="789"/>
      <c r="UUZ19" s="1352"/>
      <c r="UVE19" s="789"/>
      <c r="UVF19" s="1352"/>
      <c r="UVK19" s="789"/>
      <c r="UVL19" s="1352"/>
      <c r="UVQ19" s="789"/>
      <c r="UVR19" s="1352"/>
      <c r="UVW19" s="789"/>
      <c r="UVX19" s="1352"/>
      <c r="UWC19" s="789"/>
      <c r="UWD19" s="1352"/>
      <c r="UWI19" s="789"/>
      <c r="UWJ19" s="1352"/>
      <c r="UWO19" s="789"/>
      <c r="UWP19" s="1352"/>
      <c r="UWU19" s="789"/>
      <c r="UWV19" s="1352"/>
      <c r="UXA19" s="789"/>
      <c r="UXB19" s="1352"/>
      <c r="UXG19" s="789"/>
      <c r="UXH19" s="1352"/>
      <c r="UXM19" s="789"/>
      <c r="UXN19" s="1352"/>
      <c r="UXS19" s="789"/>
      <c r="UXT19" s="1352"/>
      <c r="UXY19" s="789"/>
      <c r="UXZ19" s="1352"/>
      <c r="UYE19" s="789"/>
      <c r="UYF19" s="1352"/>
      <c r="UYK19" s="789"/>
      <c r="UYL19" s="1352"/>
      <c r="UYQ19" s="789"/>
      <c r="UYR19" s="1352"/>
      <c r="UYW19" s="789"/>
      <c r="UYX19" s="1352"/>
      <c r="UZC19" s="789"/>
      <c r="UZD19" s="1352"/>
      <c r="UZI19" s="789"/>
      <c r="UZJ19" s="1352"/>
      <c r="UZO19" s="789"/>
      <c r="UZP19" s="1352"/>
      <c r="UZU19" s="789"/>
      <c r="UZV19" s="1352"/>
      <c r="VAA19" s="789"/>
      <c r="VAB19" s="1352"/>
      <c r="VAG19" s="789"/>
      <c r="VAH19" s="1352"/>
      <c r="VAM19" s="789"/>
      <c r="VAN19" s="1352"/>
      <c r="VAS19" s="789"/>
      <c r="VAT19" s="1352"/>
      <c r="VAY19" s="789"/>
      <c r="VAZ19" s="1352"/>
      <c r="VBE19" s="789"/>
      <c r="VBF19" s="1352"/>
      <c r="VBK19" s="789"/>
      <c r="VBL19" s="1352"/>
      <c r="VBQ19" s="789"/>
      <c r="VBR19" s="1352"/>
      <c r="VBW19" s="789"/>
      <c r="VBX19" s="1352"/>
      <c r="VCC19" s="789"/>
      <c r="VCD19" s="1352"/>
      <c r="VCI19" s="789"/>
      <c r="VCJ19" s="1352"/>
      <c r="VCO19" s="789"/>
      <c r="VCP19" s="1352"/>
      <c r="VCU19" s="789"/>
      <c r="VCV19" s="1352"/>
      <c r="VDA19" s="789"/>
      <c r="VDB19" s="1352"/>
      <c r="VDG19" s="789"/>
      <c r="VDH19" s="1352"/>
      <c r="VDM19" s="789"/>
      <c r="VDN19" s="1352"/>
      <c r="VDS19" s="789"/>
      <c r="VDT19" s="1352"/>
      <c r="VDY19" s="789"/>
      <c r="VDZ19" s="1352"/>
      <c r="VEE19" s="789"/>
      <c r="VEF19" s="1352"/>
      <c r="VEK19" s="789"/>
      <c r="VEL19" s="1352"/>
      <c r="VEQ19" s="789"/>
      <c r="VER19" s="1352"/>
      <c r="VEW19" s="789"/>
      <c r="VEX19" s="1352"/>
      <c r="VFC19" s="789"/>
      <c r="VFD19" s="1352"/>
      <c r="VFI19" s="789"/>
      <c r="VFJ19" s="1352"/>
      <c r="VFO19" s="789"/>
      <c r="VFP19" s="1352"/>
      <c r="VFU19" s="789"/>
      <c r="VFV19" s="1352"/>
      <c r="VGA19" s="789"/>
      <c r="VGB19" s="1352"/>
      <c r="VGG19" s="789"/>
      <c r="VGH19" s="1352"/>
      <c r="VGM19" s="789"/>
      <c r="VGN19" s="1352"/>
      <c r="VGS19" s="789"/>
      <c r="VGT19" s="1352"/>
      <c r="VGY19" s="789"/>
      <c r="VGZ19" s="1352"/>
      <c r="VHE19" s="789"/>
      <c r="VHF19" s="1352"/>
      <c r="VHK19" s="789"/>
      <c r="VHL19" s="1352"/>
      <c r="VHQ19" s="789"/>
      <c r="VHR19" s="1352"/>
      <c r="VHW19" s="789"/>
      <c r="VHX19" s="1352"/>
      <c r="VIC19" s="789"/>
      <c r="VID19" s="1352"/>
      <c r="VII19" s="789"/>
      <c r="VIJ19" s="1352"/>
      <c r="VIO19" s="789"/>
      <c r="VIP19" s="1352"/>
      <c r="VIU19" s="789"/>
      <c r="VIV19" s="1352"/>
      <c r="VJA19" s="789"/>
      <c r="VJB19" s="1352"/>
      <c r="VJG19" s="789"/>
      <c r="VJH19" s="1352"/>
      <c r="VJM19" s="789"/>
      <c r="VJN19" s="1352"/>
      <c r="VJS19" s="789"/>
      <c r="VJT19" s="1352"/>
      <c r="VJY19" s="789"/>
      <c r="VJZ19" s="1352"/>
      <c r="VKE19" s="789"/>
      <c r="VKF19" s="1352"/>
      <c r="VKK19" s="789"/>
      <c r="VKL19" s="1352"/>
      <c r="VKQ19" s="789"/>
      <c r="VKR19" s="1352"/>
      <c r="VKW19" s="789"/>
      <c r="VKX19" s="1352"/>
      <c r="VLC19" s="789"/>
      <c r="VLD19" s="1352"/>
      <c r="VLI19" s="789"/>
      <c r="VLJ19" s="1352"/>
      <c r="VLO19" s="789"/>
      <c r="VLP19" s="1352"/>
      <c r="VLU19" s="789"/>
      <c r="VLV19" s="1352"/>
      <c r="VMA19" s="789"/>
      <c r="VMB19" s="1352"/>
      <c r="VMG19" s="789"/>
      <c r="VMH19" s="1352"/>
      <c r="VMM19" s="789"/>
      <c r="VMN19" s="1352"/>
      <c r="VMS19" s="789"/>
      <c r="VMT19" s="1352"/>
      <c r="VMY19" s="789"/>
      <c r="VMZ19" s="1352"/>
      <c r="VNE19" s="789"/>
      <c r="VNF19" s="1352"/>
      <c r="VNK19" s="789"/>
      <c r="VNL19" s="1352"/>
      <c r="VNQ19" s="789"/>
      <c r="VNR19" s="1352"/>
      <c r="VNW19" s="789"/>
      <c r="VNX19" s="1352"/>
      <c r="VOC19" s="789"/>
      <c r="VOD19" s="1352"/>
      <c r="VOI19" s="789"/>
      <c r="VOJ19" s="1352"/>
      <c r="VOO19" s="789"/>
      <c r="VOP19" s="1352"/>
      <c r="VOU19" s="789"/>
      <c r="VOV19" s="1352"/>
      <c r="VPA19" s="789"/>
      <c r="VPB19" s="1352"/>
      <c r="VPG19" s="789"/>
      <c r="VPH19" s="1352"/>
      <c r="VPM19" s="789"/>
      <c r="VPN19" s="1352"/>
      <c r="VPS19" s="789"/>
      <c r="VPT19" s="1352"/>
      <c r="VPY19" s="789"/>
      <c r="VPZ19" s="1352"/>
      <c r="VQE19" s="789"/>
      <c r="VQF19" s="1352"/>
      <c r="VQK19" s="789"/>
      <c r="VQL19" s="1352"/>
      <c r="VQQ19" s="789"/>
      <c r="VQR19" s="1352"/>
      <c r="VQW19" s="789"/>
      <c r="VQX19" s="1352"/>
      <c r="VRC19" s="789"/>
      <c r="VRD19" s="1352"/>
      <c r="VRI19" s="789"/>
      <c r="VRJ19" s="1352"/>
      <c r="VRO19" s="789"/>
      <c r="VRP19" s="1352"/>
      <c r="VRU19" s="789"/>
      <c r="VRV19" s="1352"/>
      <c r="VSA19" s="789"/>
      <c r="VSB19" s="1352"/>
      <c r="VSG19" s="789"/>
      <c r="VSH19" s="1352"/>
      <c r="VSM19" s="789"/>
      <c r="VSN19" s="1352"/>
      <c r="VSS19" s="789"/>
      <c r="VST19" s="1352"/>
      <c r="VSY19" s="789"/>
      <c r="VSZ19" s="1352"/>
      <c r="VTE19" s="789"/>
      <c r="VTF19" s="1352"/>
      <c r="VTK19" s="789"/>
      <c r="VTL19" s="1352"/>
      <c r="VTQ19" s="789"/>
      <c r="VTR19" s="1352"/>
      <c r="VTW19" s="789"/>
      <c r="VTX19" s="1352"/>
      <c r="VUC19" s="789"/>
      <c r="VUD19" s="1352"/>
      <c r="VUI19" s="789"/>
      <c r="VUJ19" s="1352"/>
      <c r="VUO19" s="789"/>
      <c r="VUP19" s="1352"/>
      <c r="VUU19" s="789"/>
      <c r="VUV19" s="1352"/>
      <c r="VVA19" s="789"/>
      <c r="VVB19" s="1352"/>
      <c r="VVG19" s="789"/>
      <c r="VVH19" s="1352"/>
      <c r="VVM19" s="789"/>
      <c r="VVN19" s="1352"/>
      <c r="VVS19" s="789"/>
      <c r="VVT19" s="1352"/>
      <c r="VVY19" s="789"/>
      <c r="VVZ19" s="1352"/>
      <c r="VWE19" s="789"/>
      <c r="VWF19" s="1352"/>
      <c r="VWK19" s="789"/>
      <c r="VWL19" s="1352"/>
      <c r="VWQ19" s="789"/>
      <c r="VWR19" s="1352"/>
      <c r="VWW19" s="789"/>
      <c r="VWX19" s="1352"/>
      <c r="VXC19" s="789"/>
      <c r="VXD19" s="1352"/>
      <c r="VXI19" s="789"/>
      <c r="VXJ19" s="1352"/>
      <c r="VXO19" s="789"/>
      <c r="VXP19" s="1352"/>
      <c r="VXU19" s="789"/>
      <c r="VXV19" s="1352"/>
      <c r="VYA19" s="789"/>
      <c r="VYB19" s="1352"/>
      <c r="VYG19" s="789"/>
      <c r="VYH19" s="1352"/>
      <c r="VYM19" s="789"/>
      <c r="VYN19" s="1352"/>
      <c r="VYS19" s="789"/>
      <c r="VYT19" s="1352"/>
      <c r="VYY19" s="789"/>
      <c r="VYZ19" s="1352"/>
      <c r="VZE19" s="789"/>
      <c r="VZF19" s="1352"/>
      <c r="VZK19" s="789"/>
      <c r="VZL19" s="1352"/>
      <c r="VZQ19" s="789"/>
      <c r="VZR19" s="1352"/>
      <c r="VZW19" s="789"/>
      <c r="VZX19" s="1352"/>
      <c r="WAC19" s="789"/>
      <c r="WAD19" s="1352"/>
      <c r="WAI19" s="789"/>
      <c r="WAJ19" s="1352"/>
      <c r="WAO19" s="789"/>
      <c r="WAP19" s="1352"/>
      <c r="WAU19" s="789"/>
      <c r="WAV19" s="1352"/>
      <c r="WBA19" s="789"/>
      <c r="WBB19" s="1352"/>
      <c r="WBG19" s="789"/>
      <c r="WBH19" s="1352"/>
      <c r="WBM19" s="789"/>
      <c r="WBN19" s="1352"/>
      <c r="WBS19" s="789"/>
      <c r="WBT19" s="1352"/>
      <c r="WBY19" s="789"/>
      <c r="WBZ19" s="1352"/>
      <c r="WCE19" s="789"/>
      <c r="WCF19" s="1352"/>
      <c r="WCK19" s="789"/>
      <c r="WCL19" s="1352"/>
      <c r="WCQ19" s="789"/>
      <c r="WCR19" s="1352"/>
      <c r="WCW19" s="789"/>
      <c r="WCX19" s="1352"/>
      <c r="WDC19" s="789"/>
      <c r="WDD19" s="1352"/>
      <c r="WDI19" s="789"/>
      <c r="WDJ19" s="1352"/>
      <c r="WDO19" s="789"/>
      <c r="WDP19" s="1352"/>
      <c r="WDU19" s="789"/>
      <c r="WDV19" s="1352"/>
      <c r="WEA19" s="789"/>
      <c r="WEB19" s="1352"/>
      <c r="WEG19" s="789"/>
      <c r="WEH19" s="1352"/>
      <c r="WEM19" s="789"/>
      <c r="WEN19" s="1352"/>
      <c r="WES19" s="789"/>
      <c r="WET19" s="1352"/>
      <c r="WEY19" s="789"/>
      <c r="WEZ19" s="1352"/>
      <c r="WFE19" s="789"/>
      <c r="WFF19" s="1352"/>
      <c r="WFK19" s="789"/>
      <c r="WFL19" s="1352"/>
      <c r="WFQ19" s="789"/>
      <c r="WFR19" s="1352"/>
      <c r="WFW19" s="789"/>
      <c r="WFX19" s="1352"/>
      <c r="WGC19" s="789"/>
      <c r="WGD19" s="1352"/>
      <c r="WGI19" s="789"/>
      <c r="WGJ19" s="1352"/>
      <c r="WGO19" s="789"/>
      <c r="WGP19" s="1352"/>
      <c r="WGU19" s="789"/>
      <c r="WGV19" s="1352"/>
      <c r="WHA19" s="789"/>
      <c r="WHB19" s="1352"/>
      <c r="WHG19" s="789"/>
      <c r="WHH19" s="1352"/>
      <c r="WHM19" s="789"/>
      <c r="WHN19" s="1352"/>
      <c r="WHS19" s="789"/>
      <c r="WHT19" s="1352"/>
      <c r="WHY19" s="789"/>
      <c r="WHZ19" s="1352"/>
      <c r="WIE19" s="789"/>
      <c r="WIF19" s="1352"/>
      <c r="WIK19" s="789"/>
      <c r="WIL19" s="1352"/>
      <c r="WIQ19" s="789"/>
      <c r="WIR19" s="1352"/>
      <c r="WIW19" s="789"/>
      <c r="WIX19" s="1352"/>
      <c r="WJC19" s="789"/>
      <c r="WJD19" s="1352"/>
      <c r="WJI19" s="789"/>
      <c r="WJJ19" s="1352"/>
      <c r="WJO19" s="789"/>
      <c r="WJP19" s="1352"/>
      <c r="WJU19" s="789"/>
      <c r="WJV19" s="1352"/>
      <c r="WKA19" s="789"/>
      <c r="WKB19" s="1352"/>
      <c r="WKG19" s="789"/>
      <c r="WKH19" s="1352"/>
      <c r="WKM19" s="789"/>
      <c r="WKN19" s="1352"/>
      <c r="WKS19" s="789"/>
      <c r="WKT19" s="1352"/>
      <c r="WKY19" s="789"/>
      <c r="WKZ19" s="1352"/>
      <c r="WLE19" s="789"/>
      <c r="WLF19" s="1352"/>
      <c r="WLK19" s="789"/>
      <c r="WLL19" s="1352"/>
      <c r="WLQ19" s="789"/>
      <c r="WLR19" s="1352"/>
      <c r="WLW19" s="789"/>
      <c r="WLX19" s="1352"/>
      <c r="WMC19" s="789"/>
      <c r="WMD19" s="1352"/>
      <c r="WMI19" s="789"/>
      <c r="WMJ19" s="1352"/>
      <c r="WMO19" s="789"/>
      <c r="WMP19" s="1352"/>
      <c r="WMU19" s="789"/>
      <c r="WMV19" s="1352"/>
      <c r="WNA19" s="789"/>
      <c r="WNB19" s="1352"/>
      <c r="WNG19" s="789"/>
      <c r="WNH19" s="1352"/>
      <c r="WNM19" s="789"/>
      <c r="WNN19" s="1352"/>
      <c r="WNS19" s="789"/>
      <c r="WNT19" s="1352"/>
      <c r="WNY19" s="789"/>
      <c r="WNZ19" s="1352"/>
      <c r="WOE19" s="789"/>
      <c r="WOF19" s="1352"/>
      <c r="WOK19" s="789"/>
      <c r="WOL19" s="1352"/>
      <c r="WOQ19" s="789"/>
      <c r="WOR19" s="1352"/>
      <c r="WOW19" s="789"/>
      <c r="WOX19" s="1352"/>
      <c r="WPC19" s="789"/>
      <c r="WPD19" s="1352"/>
      <c r="WPI19" s="789"/>
      <c r="WPJ19" s="1352"/>
      <c r="WPO19" s="789"/>
      <c r="WPP19" s="1352"/>
      <c r="WPU19" s="789"/>
      <c r="WPV19" s="1352"/>
      <c r="WQA19" s="789"/>
      <c r="WQB19" s="1352"/>
      <c r="WQG19" s="789"/>
      <c r="WQH19" s="1352"/>
      <c r="WQM19" s="789"/>
      <c r="WQN19" s="1352"/>
      <c r="WQS19" s="789"/>
      <c r="WQT19" s="1352"/>
      <c r="WQY19" s="789"/>
      <c r="WQZ19" s="1352"/>
      <c r="WRE19" s="789"/>
      <c r="WRF19" s="1352"/>
      <c r="WRK19" s="789"/>
      <c r="WRL19" s="1352"/>
      <c r="WRQ19" s="789"/>
      <c r="WRR19" s="1352"/>
      <c r="WRW19" s="789"/>
      <c r="WRX19" s="1352"/>
      <c r="WSC19" s="789"/>
      <c r="WSD19" s="1352"/>
      <c r="WSI19" s="789"/>
      <c r="WSJ19" s="1352"/>
      <c r="WSO19" s="789"/>
      <c r="WSP19" s="1352"/>
      <c r="WSU19" s="789"/>
      <c r="WSV19" s="1352"/>
      <c r="WTA19" s="789"/>
      <c r="WTB19" s="1352"/>
      <c r="WTG19" s="789"/>
      <c r="WTH19" s="1352"/>
      <c r="WTM19" s="789"/>
      <c r="WTN19" s="1352"/>
      <c r="WTS19" s="789"/>
      <c r="WTT19" s="1352"/>
      <c r="WTY19" s="789"/>
      <c r="WTZ19" s="1352"/>
      <c r="WUE19" s="789"/>
      <c r="WUF19" s="1352"/>
      <c r="WUK19" s="789"/>
      <c r="WUL19" s="1352"/>
      <c r="WUQ19" s="789"/>
      <c r="WUR19" s="1352"/>
      <c r="WUW19" s="789"/>
      <c r="WUX19" s="1352"/>
      <c r="WVC19" s="789"/>
      <c r="WVD19" s="1352"/>
      <c r="WVI19" s="789"/>
      <c r="WVJ19" s="1352"/>
      <c r="WVO19" s="789"/>
      <c r="WVP19" s="1352"/>
      <c r="WVU19" s="789"/>
      <c r="WVV19" s="1352"/>
      <c r="WWA19" s="789"/>
      <c r="WWB19" s="1352"/>
      <c r="WWG19" s="789"/>
      <c r="WWH19" s="1352"/>
      <c r="WWM19" s="789"/>
      <c r="WWN19" s="1352"/>
      <c r="WWS19" s="789"/>
      <c r="WWT19" s="1352"/>
      <c r="WWY19" s="789"/>
      <c r="WWZ19" s="1352"/>
      <c r="WXE19" s="789"/>
      <c r="WXF19" s="1352"/>
      <c r="WXK19" s="789"/>
      <c r="WXL19" s="1352"/>
      <c r="WXQ19" s="789"/>
      <c r="WXR19" s="1352"/>
      <c r="WXW19" s="789"/>
      <c r="WXX19" s="1352"/>
      <c r="WYC19" s="789"/>
      <c r="WYD19" s="1352"/>
      <c r="WYI19" s="789"/>
      <c r="WYJ19" s="1352"/>
      <c r="WYO19" s="789"/>
      <c r="WYP19" s="1352"/>
      <c r="WYU19" s="789"/>
      <c r="WYV19" s="1352"/>
      <c r="WZA19" s="789"/>
      <c r="WZB19" s="1352"/>
      <c r="WZG19" s="789"/>
      <c r="WZH19" s="1352"/>
      <c r="WZM19" s="789"/>
      <c r="WZN19" s="1352"/>
      <c r="WZS19" s="789"/>
      <c r="WZT19" s="1352"/>
      <c r="WZY19" s="789"/>
      <c r="WZZ19" s="1352"/>
      <c r="XAE19" s="789"/>
      <c r="XAF19" s="1352"/>
      <c r="XAK19" s="789"/>
      <c r="XAL19" s="1352"/>
      <c r="XAQ19" s="789"/>
      <c r="XAR19" s="1352"/>
      <c r="XAW19" s="789"/>
      <c r="XAX19" s="1352"/>
      <c r="XBC19" s="789"/>
      <c r="XBD19" s="1352"/>
      <c r="XBI19" s="789"/>
      <c r="XBJ19" s="1352"/>
      <c r="XBO19" s="789"/>
      <c r="XBP19" s="1352"/>
      <c r="XBU19" s="789"/>
      <c r="XBV19" s="1352"/>
      <c r="XCA19" s="789"/>
      <c r="XCB19" s="1352"/>
      <c r="XCG19" s="789"/>
      <c r="XCH19" s="1352"/>
      <c r="XCM19" s="789"/>
      <c r="XCN19" s="1352"/>
      <c r="XCS19" s="789"/>
      <c r="XCT19" s="1352"/>
      <c r="XCY19" s="789"/>
      <c r="XCZ19" s="1352"/>
      <c r="XDE19" s="789"/>
      <c r="XDF19" s="1352"/>
      <c r="XDK19" s="789"/>
      <c r="XDL19" s="1352"/>
      <c r="XDQ19" s="789"/>
      <c r="XDR19" s="1352"/>
      <c r="XDW19" s="789"/>
      <c r="XDX19" s="1352"/>
      <c r="XEC19" s="789"/>
      <c r="XED19" s="1352"/>
      <c r="XEI19" s="789"/>
      <c r="XEJ19" s="1352"/>
      <c r="XEO19" s="789"/>
      <c r="XEP19" s="1352"/>
      <c r="XEU19" s="789"/>
      <c r="XEV19" s="1352"/>
      <c r="XFA19" s="789"/>
      <c r="XFB19" s="1352"/>
    </row>
    <row r="20" spans="1:1022 1027:2048 2053:3068 3073:4094 4099:5120 5125:6140 6145:7166 7171:8192 8197:9212 9217:10238 10243:11264 11269:12284 12289:13310 13315:14336 14341:15356 15361:16382" ht="9" customHeight="1" thickBot="1" x14ac:dyDescent="0.25">
      <c r="A20" s="349" t="str">
        <f>+[2]rapkvart!$B22</f>
        <v>Inkomstskatt från kvarvarande verksamhet</v>
      </c>
      <c r="B20" s="350"/>
      <c r="C20" s="351">
        <f>[2]rapkvart!$D$22</f>
        <v>-17.5</v>
      </c>
      <c r="D20" s="651">
        <f>[2]rapkvart!$E$22</f>
        <v>-9.0000000000000018</v>
      </c>
      <c r="E20" s="652">
        <f>[2]rapkvart!$F$22</f>
        <v>-27.9</v>
      </c>
      <c r="F20" s="651">
        <f>[2]rapkvart!$G$22</f>
        <v>-21.8</v>
      </c>
      <c r="G20" s="349">
        <f>[2]rapkvart!$H$22</f>
        <v>-37.599999999999994</v>
      </c>
      <c r="H20" s="349">
        <f>[2]rapkvart!$R$22</f>
        <v>-31.5</v>
      </c>
      <c r="J20" s="242">
        <v>9</v>
      </c>
      <c r="M20" s="349" t="str">
        <f>+[2]rapkvart!$A22</f>
        <v>Income tax from continuing operations</v>
      </c>
      <c r="N20" s="350"/>
      <c r="O20" s="351">
        <v>-7.1000000000000014</v>
      </c>
      <c r="P20" s="651">
        <v>-9.9999999999999964</v>
      </c>
      <c r="Q20" s="351">
        <v>-31.5</v>
      </c>
      <c r="R20" s="651">
        <v>-32.799999999999997</v>
      </c>
    </row>
    <row r="21" spans="1:1022 1027:2048 2053:3068 3073:4094 4099:5120 5125:6140 6145:7166 7171:8192 8197:9212 9217:10238 10243:11264 11269:12284 12289:13310 13315:14336 14341:15356 15361:16382" ht="9" customHeight="1" x14ac:dyDescent="0.2">
      <c r="A21" s="344" t="s">
        <v>320</v>
      </c>
      <c r="B21" s="345"/>
      <c r="C21" s="346">
        <f>[2]rapkvart!$D$23</f>
        <v>70.600000000000065</v>
      </c>
      <c r="D21" s="344">
        <f>[2]rapkvart!$E$23</f>
        <v>25.599999999999852</v>
      </c>
      <c r="E21" s="346">
        <f>[2]rapkvart!$F$23</f>
        <v>107.40000000000003</v>
      </c>
      <c r="F21" s="344">
        <f>[2]rapkvart!$G$23</f>
        <v>71.699999999999918</v>
      </c>
      <c r="G21" s="344">
        <f>[2]rapkvart!$H$23</f>
        <v>145.9</v>
      </c>
      <c r="H21" s="344">
        <f>[2]rapkvart!$R$23</f>
        <v>110.2000000000001</v>
      </c>
      <c r="M21" s="344" t="str">
        <f>+[2]rapkvart!$A23</f>
        <v>Profit for the period from continuing operations</v>
      </c>
      <c r="N21" s="345"/>
      <c r="O21" s="346">
        <v>14.300000000000093</v>
      </c>
      <c r="P21" s="344">
        <v>12.20000000000023</v>
      </c>
      <c r="Q21" s="346">
        <v>110.2000000000001</v>
      </c>
      <c r="R21" s="344">
        <v>100.10000000000015</v>
      </c>
    </row>
    <row r="22" spans="1:1022 1027:2048 2053:3068 3073:4094 4099:5120 5125:6140 6145:7166 7171:8192 8197:9212 9217:10238 10243:11264 11269:12284 12289:13310 13315:14336 14341:15356 15361:16382" ht="11.25" customHeight="1" x14ac:dyDescent="0.2">
      <c r="A22" s="352" t="str">
        <f>+[2]rapkvart!$B24</f>
        <v>Periodens resultat från avvecklad verksamhet före skatt</v>
      </c>
      <c r="B22" s="360"/>
      <c r="C22" s="361">
        <f>[2]rapkvart!$D$24</f>
        <v>-0.79999999999999982</v>
      </c>
      <c r="D22" s="352">
        <f>[2]rapkvart!$E$24</f>
        <v>-9.2999999999999989</v>
      </c>
      <c r="E22" s="361">
        <f>[2]rapkvart!$F$24</f>
        <v>-4.3</v>
      </c>
      <c r="F22" s="352">
        <f>[2]rapkvart!$G$24</f>
        <v>-12.7</v>
      </c>
      <c r="G22" s="344"/>
      <c r="H22" s="344"/>
      <c r="M22" s="352" t="str">
        <f>+[2]rapkvart!$A24</f>
        <v>Loss for the period from discontinued operations</v>
      </c>
      <c r="N22" s="360"/>
      <c r="O22" s="361">
        <v>-19.399999999999999</v>
      </c>
      <c r="P22" s="352">
        <v>0</v>
      </c>
      <c r="Q22" s="361">
        <v>-40</v>
      </c>
      <c r="R22" s="352">
        <v>0</v>
      </c>
    </row>
    <row r="23" spans="1:1022 1027:2048 2053:3068 3073:4094 4099:5120 5125:6140 6145:7166 7171:8192 8197:9212 9217:10238 10243:11264 11269:12284 12289:13310 13315:14336 14341:15356 15361:16382" ht="12" customHeight="1" thickBot="1" x14ac:dyDescent="0.25">
      <c r="A23" s="352" t="str">
        <f>+[2]rapkvart!$B25</f>
        <v>Inkomstskatt avvecklad verksamhet</v>
      </c>
      <c r="B23" s="360"/>
      <c r="C23" s="361">
        <f>[2]rapkvart!$D$25</f>
        <v>0.20000000000000007</v>
      </c>
      <c r="D23" s="352">
        <f>[2]rapkvart!$E$25</f>
        <v>1.8</v>
      </c>
      <c r="E23" s="361">
        <f>[2]rapkvart!$F$25</f>
        <v>0.9</v>
      </c>
      <c r="F23" s="352">
        <f>[2]rapkvart!$G$25</f>
        <v>2.5</v>
      </c>
      <c r="G23" s="349">
        <f>[2]rapkvart!$H$24</f>
        <v>-31.6</v>
      </c>
      <c r="H23" s="349">
        <f>[2]rapkvart!$R$24</f>
        <v>-40</v>
      </c>
      <c r="M23" s="352" t="str">
        <f>+[2]rapkvart!$A25</f>
        <v>Income tax from discontinued operations</v>
      </c>
      <c r="N23" s="360"/>
      <c r="O23" s="361">
        <v>4</v>
      </c>
      <c r="P23" s="352">
        <v>0</v>
      </c>
      <c r="Q23" s="361">
        <v>7.9</v>
      </c>
      <c r="R23" s="352">
        <v>0</v>
      </c>
    </row>
    <row r="24" spans="1:1022 1027:2048 2053:3068 3073:4094 4099:5120 5125:6140 6145:7166 7171:8192 8197:9212 9217:10238 10243:11264 11269:12284 12289:13310 13315:14336 14341:15356 15361:16382" ht="12" customHeight="1" thickBot="1" x14ac:dyDescent="0.25">
      <c r="A24" s="653" t="s">
        <v>330</v>
      </c>
      <c r="B24" s="654"/>
      <c r="C24" s="655">
        <f>[2]rapkvart!$D$26</f>
        <v>-0.60000000000000009</v>
      </c>
      <c r="D24" s="653">
        <f>[2]rapkvart!$E$26</f>
        <v>-7.4999999999999991</v>
      </c>
      <c r="E24" s="655">
        <f>[2]rapkvart!$F$26</f>
        <v>-3.4</v>
      </c>
      <c r="F24" s="653">
        <f>[2]rapkvart!$G$26</f>
        <v>-10.199999999999999</v>
      </c>
      <c r="G24" s="349">
        <f>[2]rapkvart!$H$24</f>
        <v>-31.6</v>
      </c>
      <c r="H24" s="349">
        <f>[2]rapkvart!$R$24</f>
        <v>-40</v>
      </c>
      <c r="M24" s="352" t="str">
        <f>+[2]rapkvart!$A26</f>
        <v>Loss for the period from discontinued operations</v>
      </c>
      <c r="N24" s="654"/>
      <c r="O24" s="655">
        <v>-15.399999999999999</v>
      </c>
      <c r="P24" s="653">
        <v>0</v>
      </c>
      <c r="Q24" s="655">
        <v>-32.1</v>
      </c>
      <c r="R24" s="653">
        <v>0</v>
      </c>
    </row>
    <row r="25" spans="1:1022 1027:2048 2053:3068 3073:4094 4099:5120 5125:6140 6145:7166 7171:8192 8197:9212 9217:10238 10243:11264 11269:12284 12289:13310 13315:14336 14341:15356 15361:16382" ht="9.75" customHeight="1" x14ac:dyDescent="0.2">
      <c r="A25" s="344" t="s">
        <v>333</v>
      </c>
      <c r="B25" s="345"/>
      <c r="C25" s="346">
        <f>[2]rapkvart!$D27</f>
        <v>70.000000000000071</v>
      </c>
      <c r="D25" s="344">
        <f>[2]rapkvart!$E27</f>
        <v>18.099999999999856</v>
      </c>
      <c r="E25" s="346">
        <f>[2]rapkvart!$F27</f>
        <v>104.00000000000004</v>
      </c>
      <c r="F25" s="344">
        <f>[2]rapkvart!$G$27</f>
        <v>61.499999999999915</v>
      </c>
      <c r="G25" s="344">
        <f>[2]rapkvart!$H$27</f>
        <v>120.60000000000001</v>
      </c>
      <c r="H25" s="344">
        <f>[2]rapkvart!$R$27</f>
        <v>78.100000000000108</v>
      </c>
      <c r="I25" s="656"/>
      <c r="J25" s="242">
        <v>9.75</v>
      </c>
      <c r="L25" s="259"/>
      <c r="M25" s="333" t="str">
        <f>+[2]rapkvart!$A27</f>
        <v>Net income for the period</v>
      </c>
      <c r="N25" s="345"/>
      <c r="O25" s="346">
        <v>-1.0999999999999055</v>
      </c>
      <c r="P25" s="344">
        <v>12.20000000000023</v>
      </c>
      <c r="Q25" s="346">
        <v>78.100000000000108</v>
      </c>
      <c r="R25" s="344">
        <v>100.10000000000015</v>
      </c>
    </row>
    <row r="26" spans="1:1022 1027:2048 2053:3068 3073:4094 4099:5120 5125:6140 6145:7166 7171:8192 8197:9212 9217:10238 10243:11264 11269:12284 12289:13310 13315:14336 14341:15356 15361:16382" ht="9.75" customHeight="1" x14ac:dyDescent="0.2">
      <c r="A26" s="352" t="str">
        <f>+[2]rapkvart!$B28</f>
        <v>Varav hänförligt till:</v>
      </c>
      <c r="B26" s="360"/>
      <c r="C26" s="361"/>
      <c r="D26" s="352"/>
      <c r="E26" s="361"/>
      <c r="F26" s="352"/>
      <c r="G26" s="352"/>
      <c r="H26" s="352"/>
      <c r="M26" s="352" t="str">
        <f>+[2]rapkvart!$A28</f>
        <v>of which attributable to:</v>
      </c>
      <c r="N26" s="360"/>
      <c r="O26" s="361"/>
      <c r="P26" s="352"/>
      <c r="Q26" s="361"/>
      <c r="R26" s="352"/>
    </row>
    <row r="27" spans="1:1022 1027:2048 2053:3068 3073:4094 4099:5120 5125:6140 6145:7166 7171:8192 8197:9212 9217:10238 10243:11264 11269:12284 12289:13310 13315:14336 14341:15356 15361:16382" ht="9" customHeight="1" x14ac:dyDescent="0.2">
      <c r="A27" s="364" t="str">
        <f>+[2]rapkvart!$B29</f>
        <v>Moderbolagets ägare</v>
      </c>
      <c r="B27" s="345"/>
      <c r="C27" s="361">
        <f>[2]rapkvart!$D29</f>
        <v>68.500000000000057</v>
      </c>
      <c r="D27" s="352">
        <f>[2]rapkvart!$E29</f>
        <v>16.699999999999854</v>
      </c>
      <c r="E27" s="361">
        <f>[2]rapkvart!$F29</f>
        <v>101.40000000000005</v>
      </c>
      <c r="F27" s="352">
        <f>[2]rapkvart!$G29</f>
        <v>58.499999999999915</v>
      </c>
      <c r="G27" s="352">
        <f>[2]rapkvart!$H29</f>
        <v>116.40000000000025</v>
      </c>
      <c r="H27" s="352">
        <f>[2]rapkvart!$R29</f>
        <v>73.500000000000114</v>
      </c>
      <c r="I27" s="657"/>
      <c r="M27" s="364" t="str">
        <f>+[2]rapkvart!$A29</f>
        <v>Owners of the parent</v>
      </c>
      <c r="N27" s="345"/>
      <c r="O27" s="361">
        <v>-1.8999999999999062</v>
      </c>
      <c r="P27" s="352">
        <v>12.200000000000244</v>
      </c>
      <c r="Q27" s="361">
        <v>73.500000000000114</v>
      </c>
      <c r="R27" s="352">
        <v>93.700000000000145</v>
      </c>
    </row>
    <row r="28" spans="1:1022 1027:2048 2053:3068 3073:4094 4099:5120 5125:6140 6145:7166 7171:8192 8197:9212 9217:10238 10243:11264 11269:12284 12289:13310 13315:14336 14341:15356 15361:16382" ht="9" customHeight="1" x14ac:dyDescent="0.2">
      <c r="A28" s="365" t="str">
        <f>+[2]rapkvart!$B30</f>
        <v>Innehav utan bestämmande inflytande</v>
      </c>
      <c r="B28" s="666"/>
      <c r="C28" s="361">
        <f>[2]rapkvart!$D30</f>
        <v>1.5</v>
      </c>
      <c r="D28" s="352">
        <f>[2]rapkvart!$E30</f>
        <v>1.4</v>
      </c>
      <c r="E28" s="361">
        <f>[2]rapkvart!$F30</f>
        <v>2.6</v>
      </c>
      <c r="F28" s="352">
        <f>[2]rapkvart!$G30</f>
        <v>3</v>
      </c>
      <c r="G28" s="352">
        <f>[2]rapkvart!$H30</f>
        <v>4.1999999999999993</v>
      </c>
      <c r="H28" s="352">
        <f>[2]rapkvart!$R30</f>
        <v>4.5999999999999996</v>
      </c>
      <c r="I28" s="657"/>
      <c r="M28" s="365" t="str">
        <f>+[2]rapkvart!$A30</f>
        <v>Non-controlling interests</v>
      </c>
      <c r="N28" s="666"/>
      <c r="O28" s="361">
        <v>0.79999999999999982</v>
      </c>
      <c r="P28" s="352">
        <v>0</v>
      </c>
      <c r="Q28" s="361">
        <v>4.5999999999999996</v>
      </c>
      <c r="R28" s="352">
        <v>6.4</v>
      </c>
    </row>
    <row r="29" spans="1:1022 1027:2048 2053:3068 3073:4094 4099:5120 5125:6140 6145:7166 7171:8192 8197:9212 9217:10238 10243:11264 11269:12284 12289:13310 13315:14336 14341:15356 15361:16382" ht="5.0999999999999996" customHeight="1" x14ac:dyDescent="0.2">
      <c r="A29" s="365"/>
      <c r="B29" s="360"/>
      <c r="C29" s="361"/>
      <c r="D29" s="352"/>
      <c r="E29" s="361"/>
      <c r="F29" s="352"/>
      <c r="G29" s="352"/>
      <c r="H29" s="352"/>
      <c r="M29" s="365"/>
      <c r="N29" s="360"/>
      <c r="O29" s="361"/>
      <c r="P29" s="352"/>
      <c r="Q29" s="361"/>
      <c r="R29" s="352"/>
    </row>
    <row r="30" spans="1:1022 1027:2048 2053:3068 3073:4094 4099:5120 5125:6140 6145:7166 7171:8192 8197:9212 9217:10238 10243:11264 11269:12284 12289:13310 13315:14336 14341:15356 15361:16382" ht="9.75" customHeight="1" x14ac:dyDescent="0.2">
      <c r="A30" s="344" t="str">
        <f>+[2]rapkvart!$B32</f>
        <v>Resultat per aktie (ingen utspädning finns)</v>
      </c>
      <c r="B30" s="658"/>
      <c r="C30" s="346"/>
      <c r="D30" s="659"/>
      <c r="E30" s="346"/>
      <c r="F30" s="659"/>
      <c r="G30" s="659"/>
      <c r="H30" s="659"/>
      <c r="M30" s="344" t="str">
        <f>+[2]rapkvart!$A32</f>
        <v>Earnings per share (before and after dilution), SEK</v>
      </c>
      <c r="N30" s="658"/>
      <c r="O30" s="346"/>
      <c r="P30" s="659"/>
      <c r="Q30" s="346"/>
      <c r="R30" s="659"/>
    </row>
    <row r="31" spans="1:1022 1027:2048 2053:3068 3073:4094 4099:5120 5125:6140 6145:7166 7171:8192 8197:9212 9217:10238 10243:11264 11269:12284 12289:13310 13315:14336 14341:15356 15361:16382" ht="9.75" customHeight="1" x14ac:dyDescent="0.2">
      <c r="A31" s="311" t="s">
        <v>349</v>
      </c>
      <c r="B31" s="660"/>
      <c r="C31" s="312">
        <f>[2]rapkvart!$D33</f>
        <v>9.34</v>
      </c>
      <c r="D31" s="661">
        <f>[2]rapkvart!$E33</f>
        <v>3.2800000000000011</v>
      </c>
      <c r="E31" s="312">
        <f>[2]rapkvart!$F$33</f>
        <v>14.16</v>
      </c>
      <c r="F31" s="661">
        <f>[2]rapkvart!$G$33</f>
        <v>9.3000000000000007</v>
      </c>
      <c r="G31" s="661">
        <f>[2]rapkvart!$H$33</f>
        <v>19.13</v>
      </c>
      <c r="H31" s="661">
        <f>[2]rapkvart!$R$33</f>
        <v>14.27</v>
      </c>
      <c r="M31" s="311" t="str">
        <f>+[2]rapkvart!$A33</f>
        <v>-from continuing operations, SEK</v>
      </c>
      <c r="N31" s="660"/>
      <c r="O31" s="312">
        <v>1.8499999999999996</v>
      </c>
      <c r="P31" s="661">
        <v>1.66</v>
      </c>
      <c r="Q31" s="312">
        <v>14.27</v>
      </c>
      <c r="R31" s="661">
        <v>12.67</v>
      </c>
    </row>
    <row r="32" spans="1:1022 1027:2048 2053:3068 3073:4094 4099:5120 5125:6140 6145:7166 7171:8192 8197:9212 9217:10238 10243:11264 11269:12284 12289:13310 13315:14336 14341:15356 15361:16382" ht="9.75" customHeight="1" thickBot="1" x14ac:dyDescent="0.25">
      <c r="A32" s="311" t="s">
        <v>354</v>
      </c>
      <c r="B32" s="662"/>
      <c r="C32" s="361">
        <f>[2]rapkvart!$D34</f>
        <v>-8.9999999999999858E-2</v>
      </c>
      <c r="D32" s="663">
        <f>[2]rapkvart!$E34</f>
        <v>-1.0200000000000014</v>
      </c>
      <c r="E32" s="361">
        <f>[2]rapkvart!$F$34</f>
        <v>-0.46000000000000085</v>
      </c>
      <c r="F32" s="663">
        <f>[2]rapkvart!$G$34</f>
        <v>-1.3900000000000006</v>
      </c>
      <c r="G32" s="663">
        <f>[2]rapkvart!$H$34</f>
        <v>-3.4099999999999984</v>
      </c>
      <c r="H32" s="663">
        <f>[2]rapkvart!$R$34</f>
        <v>-4.33</v>
      </c>
      <c r="M32" s="352" t="str">
        <f>+[2]rapkvart!$A34</f>
        <v>-from discontinued operations, SEK</v>
      </c>
      <c r="N32" s="662"/>
      <c r="O32" s="361">
        <v>-2.09</v>
      </c>
      <c r="P32" s="663">
        <v>0</v>
      </c>
      <c r="Q32" s="361">
        <v>-4.33</v>
      </c>
      <c r="R32" s="663">
        <v>0</v>
      </c>
    </row>
    <row r="33" spans="1:18" ht="9.75" customHeight="1" x14ac:dyDescent="0.2">
      <c r="A33" s="333" t="str">
        <f>+[2]rapkvart!$B35</f>
        <v>Totalt</v>
      </c>
      <c r="B33" s="664"/>
      <c r="C33" s="335">
        <f>[2]rapkvart!$D35</f>
        <v>9.25</v>
      </c>
      <c r="D33" s="665">
        <f>[2]rapkvart!$E35</f>
        <v>2.2599999999999998</v>
      </c>
      <c r="E33" s="335">
        <f>[2]rapkvart!$F$35</f>
        <v>13.7</v>
      </c>
      <c r="F33" s="665">
        <f>[2]rapkvart!$G$35</f>
        <v>7.91</v>
      </c>
      <c r="G33" s="665">
        <f>[2]rapkvart!$H$35</f>
        <v>15.72</v>
      </c>
      <c r="H33" s="665">
        <f>[2]rapkvart!$R$35</f>
        <v>9.94</v>
      </c>
      <c r="M33" s="333" t="str">
        <f>+[2]rapkvart!$A35</f>
        <v>Total</v>
      </c>
      <c r="N33" s="664"/>
      <c r="O33" s="335">
        <v>-0.24000000000000021</v>
      </c>
      <c r="P33" s="665">
        <v>1.66</v>
      </c>
      <c r="Q33" s="335">
        <v>9.94</v>
      </c>
      <c r="R33" s="665">
        <v>12.67</v>
      </c>
    </row>
    <row r="34" spans="1:18" ht="5.0999999999999996" customHeight="1" x14ac:dyDescent="0.2">
      <c r="A34" s="365"/>
      <c r="B34" s="666"/>
      <c r="C34" s="361"/>
      <c r="D34" s="352"/>
      <c r="E34" s="361"/>
      <c r="F34" s="352"/>
      <c r="G34" s="352"/>
      <c r="H34" s="352"/>
      <c r="M34" s="365"/>
      <c r="N34" s="666"/>
      <c r="O34" s="361"/>
      <c r="P34" s="352"/>
      <c r="Q34" s="361"/>
      <c r="R34" s="352"/>
    </row>
    <row r="35" spans="1:18" ht="11.25" customHeight="1" x14ac:dyDescent="0.2">
      <c r="A35" s="372" t="str">
        <f>+[2]rapkvart!$B37</f>
        <v>Övrigt totalresultat</v>
      </c>
      <c r="B35" s="666"/>
      <c r="C35" s="361"/>
      <c r="D35" s="352"/>
      <c r="E35" s="361"/>
      <c r="F35" s="352"/>
      <c r="G35" s="352"/>
      <c r="H35" s="352"/>
      <c r="M35" s="372" t="str">
        <f>+[2]rapkvart!$A37</f>
        <v>Other comprehensive income</v>
      </c>
      <c r="N35" s="666"/>
      <c r="O35" s="361"/>
      <c r="P35" s="352"/>
      <c r="Q35" s="361"/>
      <c r="R35" s="352"/>
    </row>
    <row r="36" spans="1:18" ht="9" customHeight="1" x14ac:dyDescent="0.2">
      <c r="A36" s="311" t="str">
        <f>+[2]rapkvart!$B38</f>
        <v>Periodens resultat</v>
      </c>
      <c r="B36" s="667"/>
      <c r="C36" s="312">
        <f>[2]rapkvart!$D38</f>
        <v>70.000000000000057</v>
      </c>
      <c r="D36" s="311">
        <f>[2]rapkvart!$E38</f>
        <v>18.099999999999852</v>
      </c>
      <c r="E36" s="312">
        <f>[2]rapkvart!$F38</f>
        <v>104.00000000000004</v>
      </c>
      <c r="F36" s="311">
        <f>[2]rapkvart!$G38</f>
        <v>61.499999999999915</v>
      </c>
      <c r="G36" s="311">
        <f>[2]rapkvart!$H38</f>
        <v>120.60000000000024</v>
      </c>
      <c r="H36" s="311">
        <f>[2]rapkvart!$R38</f>
        <v>78.100000000000108</v>
      </c>
      <c r="M36" s="311" t="str">
        <f>+[2]rapkvart!$A38</f>
        <v>Net income for the period</v>
      </c>
      <c r="N36" s="667"/>
      <c r="O36" s="312">
        <v>-1.0999999999999091</v>
      </c>
      <c r="P36" s="311">
        <v>12.200000000000244</v>
      </c>
      <c r="Q36" s="312">
        <v>78.100000000000108</v>
      </c>
      <c r="R36" s="311">
        <v>100.10000000000015</v>
      </c>
    </row>
    <row r="37" spans="1:18" ht="9" customHeight="1" x14ac:dyDescent="0.2">
      <c r="A37" s="711" t="str">
        <f>+[2]rapkvart!$B39</f>
        <v>Säkringsreserv</v>
      </c>
      <c r="B37" s="668"/>
      <c r="C37" s="313">
        <f>[2]rapkvart!$D39</f>
        <v>-2.4999999999999996</v>
      </c>
      <c r="D37" s="298">
        <f>[2]rapkvart!$E39</f>
        <v>-7.9</v>
      </c>
      <c r="E37" s="313">
        <f>[2]rapkvart!$F39</f>
        <v>-6.1</v>
      </c>
      <c r="F37" s="298">
        <f>[2]rapkvart!$G39</f>
        <v>4.5</v>
      </c>
      <c r="G37" s="311">
        <f>[2]rapkvart!$H39</f>
        <v>-4</v>
      </c>
      <c r="H37" s="311">
        <f>[2]rapkvart!$R39</f>
        <v>6.6</v>
      </c>
      <c r="M37" s="711" t="str">
        <f>+[2]rapkvart!$A39</f>
        <v>Hedging reserve</v>
      </c>
      <c r="N37" s="668"/>
      <c r="O37" s="313">
        <v>1.2999999999999998</v>
      </c>
      <c r="P37" s="298">
        <v>-4.2</v>
      </c>
      <c r="Q37" s="313">
        <v>6.6</v>
      </c>
      <c r="R37" s="298">
        <v>3.3</v>
      </c>
    </row>
    <row r="38" spans="1:18" ht="9" customHeight="1" x14ac:dyDescent="0.2">
      <c r="A38" s="711" t="str">
        <f>+[2]rapkvart!$B40</f>
        <v>Omräkningsreserv</v>
      </c>
      <c r="B38" s="668"/>
      <c r="C38" s="313">
        <f>[2]rapkvart!$D40</f>
        <v>0.1</v>
      </c>
      <c r="D38" s="298">
        <f>[2]rapkvart!$E40</f>
        <v>9.9999999999999978E-2</v>
      </c>
      <c r="E38" s="313">
        <f>[2]rapkvart!$F40</f>
        <v>0.1</v>
      </c>
      <c r="F38" s="298">
        <f>[2]rapkvart!$G40</f>
        <v>-0.2</v>
      </c>
      <c r="G38" s="311">
        <f>[2]rapkvart!$H40</f>
        <v>-0.19999999999999998</v>
      </c>
      <c r="H38" s="311">
        <f>[2]rapkvart!$R40</f>
        <v>-0.5</v>
      </c>
      <c r="M38" s="711" t="str">
        <f>+[2]rapkvart!$A40</f>
        <v>Translation differences</v>
      </c>
      <c r="N38" s="668"/>
      <c r="O38" s="313">
        <v>-0.4</v>
      </c>
      <c r="P38" s="298">
        <v>0.2</v>
      </c>
      <c r="Q38" s="313">
        <v>-0.5</v>
      </c>
      <c r="R38" s="298">
        <v>0.2</v>
      </c>
    </row>
    <row r="39" spans="1:18" ht="9" customHeight="1" x14ac:dyDescent="0.2">
      <c r="A39" s="711" t="str">
        <f>+[2]rapkvart!$B41</f>
        <v>Uppskjuten skatt på ovanstående</v>
      </c>
      <c r="B39" s="668"/>
      <c r="C39" s="313">
        <f>[2]rapkvart!$D41</f>
        <v>0.60000000000000009</v>
      </c>
      <c r="D39" s="298">
        <f>[2]rapkvart!$E41</f>
        <v>1.6</v>
      </c>
      <c r="E39" s="313">
        <f>[2]rapkvart!$F41</f>
        <v>1.3</v>
      </c>
      <c r="F39" s="298">
        <f>[2]rapkvart!$G41</f>
        <v>-0.9</v>
      </c>
      <c r="G39" s="311">
        <f>[2]rapkvart!$H41</f>
        <v>0.80000000000000016</v>
      </c>
      <c r="H39" s="311">
        <f>[2]rapkvart!$R41</f>
        <v>-1.4</v>
      </c>
      <c r="M39" s="711" t="str">
        <f>+[2]rapkvart!$A41</f>
        <v xml:space="preserve">Deferred tax on the above items </v>
      </c>
      <c r="N39" s="668"/>
      <c r="O39" s="313">
        <v>-0.29999999999999982</v>
      </c>
      <c r="P39" s="298">
        <v>0.8</v>
      </c>
      <c r="Q39" s="313">
        <v>-1.4</v>
      </c>
      <c r="R39" s="298">
        <v>-0.7</v>
      </c>
    </row>
    <row r="40" spans="1:18" ht="9" customHeight="1" x14ac:dyDescent="0.2">
      <c r="A40" s="378" t="str">
        <f>+[2]rapkvart!$B42</f>
        <v>Summa poster som kommer att omklassificeras till nettoresultatet:</v>
      </c>
      <c r="B40" s="669"/>
      <c r="C40" s="308">
        <f>[2]rapkvart!$D42</f>
        <v>-1.7999999999999994</v>
      </c>
      <c r="D40" s="307">
        <f>[2]rapkvart!$E42</f>
        <v>-6.2000000000000011</v>
      </c>
      <c r="E40" s="308">
        <f>[2]rapkvart!$F42</f>
        <v>-4.7</v>
      </c>
      <c r="F40" s="307">
        <f>[2]rapkvart!$G42</f>
        <v>3.4</v>
      </c>
      <c r="G40" s="307">
        <f>[2]rapkvart!$H42</f>
        <v>-3.4</v>
      </c>
      <c r="H40" s="307">
        <f>[2]rapkvart!$R42</f>
        <v>4.6999999999999993</v>
      </c>
      <c r="M40" s="378" t="str">
        <f>+[2]rapkvart!$A42</f>
        <v>Total items that will subsequently be reclassified to net income:</v>
      </c>
      <c r="N40" s="669"/>
      <c r="O40" s="308">
        <v>0.6</v>
      </c>
      <c r="P40" s="307">
        <v>-3.2</v>
      </c>
      <c r="Q40" s="308">
        <v>4.6999999999999993</v>
      </c>
      <c r="R40" s="307">
        <v>2.8</v>
      </c>
    </row>
    <row r="41" spans="1:18" ht="9" customHeight="1" x14ac:dyDescent="0.2">
      <c r="A41" s="375" t="str">
        <f>+[2]rapkvart!$B43</f>
        <v>Omvärderingar av förmånsbestämda pensionsåtaganden</v>
      </c>
      <c r="B41" s="667"/>
      <c r="C41" s="312">
        <f>[2]rapkvart!$D43</f>
        <v>0</v>
      </c>
      <c r="D41" s="311">
        <f>[2]rapkvart!$E43</f>
        <v>-0.1</v>
      </c>
      <c r="E41" s="312">
        <f>[2]rapkvart!$F43</f>
        <v>0</v>
      </c>
      <c r="F41" s="311">
        <f>[2]rapkvart!$G43</f>
        <v>-0.1</v>
      </c>
      <c r="G41" s="311">
        <f>[2]rapkvart!$H43</f>
        <v>0</v>
      </c>
      <c r="H41" s="311">
        <f>[2]rapkvart!$R43</f>
        <v>-0.1</v>
      </c>
      <c r="M41" s="375" t="str">
        <f>+[2]rapkvart!$A43</f>
        <v>Revaluation of defined benefit pension obligation</v>
      </c>
      <c r="N41" s="667"/>
      <c r="O41" s="312">
        <v>0</v>
      </c>
      <c r="P41" s="311">
        <v>-0.30000000000000004</v>
      </c>
      <c r="Q41" s="312">
        <v>-0.1</v>
      </c>
      <c r="R41" s="311">
        <v>-0.2</v>
      </c>
    </row>
    <row r="42" spans="1:18" ht="9" customHeight="1" x14ac:dyDescent="0.2">
      <c r="A42" s="378" t="str">
        <f>+[2]rapkvart!$B44</f>
        <v>Summa poster som inte kommer att omklassificeras till nettoresultatet:</v>
      </c>
      <c r="B42" s="669"/>
      <c r="C42" s="308">
        <f>[2]rapkvart!$D44</f>
        <v>0</v>
      </c>
      <c r="D42" s="307">
        <f>[2]rapkvart!$E44</f>
        <v>-0.1</v>
      </c>
      <c r="E42" s="308">
        <f>[2]rapkvart!$F44</f>
        <v>0</v>
      </c>
      <c r="F42" s="307">
        <f>[2]rapkvart!$G44</f>
        <v>-0.1</v>
      </c>
      <c r="G42" s="385">
        <f>[2]rapkvart!$H44</f>
        <v>0</v>
      </c>
      <c r="H42" s="385">
        <f>[2]rapkvart!$R44</f>
        <v>-0.1</v>
      </c>
      <c r="M42" s="378" t="str">
        <f>+[2]rapkvart!$A44</f>
        <v>Total items that will subsequently not be reclassified to net income:</v>
      </c>
      <c r="N42" s="669"/>
      <c r="O42" s="308">
        <v>0</v>
      </c>
      <c r="P42" s="307">
        <v>-0.30000000000000004</v>
      </c>
      <c r="Q42" s="308">
        <v>-0.1</v>
      </c>
      <c r="R42" s="307">
        <v>-0.2</v>
      </c>
    </row>
    <row r="43" spans="1:18" ht="9" customHeight="1" thickBot="1" x14ac:dyDescent="0.25">
      <c r="A43" s="378" t="str">
        <f>+[2]rapkvart!$B45</f>
        <v>Summa övrigt totalresultat</v>
      </c>
      <c r="B43" s="669"/>
      <c r="C43" s="308">
        <f>[2]rapkvart!$D45</f>
        <v>-1.7999999999999994</v>
      </c>
      <c r="D43" s="307">
        <f>[2]rapkvart!$E45</f>
        <v>-6.3000000000000007</v>
      </c>
      <c r="E43" s="308">
        <f>[2]rapkvart!$F45</f>
        <v>-4.7</v>
      </c>
      <c r="F43" s="307">
        <f>[2]rapkvart!$G45</f>
        <v>3.3</v>
      </c>
      <c r="G43" s="344">
        <f>[2]rapkvart!$H45</f>
        <v>-3.4</v>
      </c>
      <c r="H43" s="344">
        <f>[2]rapkvart!$R45</f>
        <v>4.5999999999999996</v>
      </c>
      <c r="M43" s="378" t="str">
        <f>+[2]rapkvart!$A45</f>
        <v>Total other comprehensive income</v>
      </c>
      <c r="N43" s="669"/>
      <c r="O43" s="308">
        <v>0.6</v>
      </c>
      <c r="P43" s="307">
        <v>-3.5</v>
      </c>
      <c r="Q43" s="308">
        <v>4.5999999999999996</v>
      </c>
      <c r="R43" s="307">
        <v>2.5999999999999996</v>
      </c>
    </row>
    <row r="44" spans="1:18" ht="9.75" customHeight="1" x14ac:dyDescent="0.2">
      <c r="A44" s="333" t="str">
        <f>+[2]rapkvart!$B46</f>
        <v>Periodens totalresultat</v>
      </c>
      <c r="B44" s="670"/>
      <c r="C44" s="335">
        <f>[2]rapkvart!$D46</f>
        <v>68.20000000000006</v>
      </c>
      <c r="D44" s="333">
        <f>[2]rapkvart!$E46</f>
        <v>11.799999999999851</v>
      </c>
      <c r="E44" s="335">
        <f>[2]rapkvart!$F46</f>
        <v>99.30000000000004</v>
      </c>
      <c r="F44" s="333">
        <f>[2]rapkvart!$G46</f>
        <v>64.799999999999926</v>
      </c>
      <c r="G44" s="333">
        <f>[2]rapkvart!$H426</f>
        <v>0</v>
      </c>
      <c r="H44" s="333">
        <f>[2]rapkvart!$R426</f>
        <v>0</v>
      </c>
      <c r="M44" s="333" t="str">
        <f>+[2]rapkvart!$A46</f>
        <v>Comprehensive income for the period</v>
      </c>
      <c r="N44" s="670"/>
      <c r="O44" s="335">
        <v>-0.49999999999990907</v>
      </c>
      <c r="P44" s="333">
        <v>8.7000000000002444</v>
      </c>
      <c r="Q44" s="335">
        <v>82.700000000000117</v>
      </c>
      <c r="R44" s="333">
        <v>102.70000000000014</v>
      </c>
    </row>
    <row r="45" spans="1:18" ht="9.75" customHeight="1" x14ac:dyDescent="0.2">
      <c r="A45" s="352" t="str">
        <f>+[2]rapkvart!$B47</f>
        <v>Varav periodens totalresultat hänförligt till:</v>
      </c>
      <c r="B45" s="666"/>
      <c r="C45" s="361"/>
      <c r="D45" s="352"/>
      <c r="E45" s="361"/>
      <c r="F45" s="352"/>
      <c r="G45" s="352"/>
      <c r="H45" s="352"/>
      <c r="M45" s="352" t="str">
        <f>+[2]rapkvart!$A47</f>
        <v>of which total comprehensive income for the period attributable to:</v>
      </c>
      <c r="N45" s="666"/>
      <c r="O45" s="361"/>
      <c r="P45" s="352"/>
      <c r="Q45" s="361"/>
      <c r="R45" s="352"/>
    </row>
    <row r="46" spans="1:18" ht="9" customHeight="1" x14ac:dyDescent="0.2">
      <c r="A46" s="365" t="str">
        <f>+[2]rapkvart!$B48</f>
        <v>Moderbolagets ägare</v>
      </c>
      <c r="B46" s="666"/>
      <c r="C46" s="361">
        <f>[2]rapkvart!$D48</f>
        <v>66.70000000000006</v>
      </c>
      <c r="D46" s="352">
        <f>[2]rapkvart!$E48</f>
        <v>10.399999999999864</v>
      </c>
      <c r="E46" s="361">
        <f>[2]rapkvart!$F48</f>
        <v>96.700000000000045</v>
      </c>
      <c r="F46" s="352">
        <f>[2]rapkvart!$G48</f>
        <v>61.799999999999926</v>
      </c>
      <c r="G46" s="352">
        <f>[2]rapkvart!$H48</f>
        <v>113.00000000000024</v>
      </c>
      <c r="H46" s="352">
        <f>[2]rapkvart!$R48</f>
        <v>78.100000000000122</v>
      </c>
      <c r="M46" s="365" t="str">
        <f>+[2]rapkvart!$A48</f>
        <v>Owners of the parent</v>
      </c>
      <c r="N46" s="666"/>
      <c r="O46" s="361">
        <v>-1.2999999999998977</v>
      </c>
      <c r="P46" s="352">
        <v>8.7000000000002444</v>
      </c>
      <c r="Q46" s="361">
        <v>78.100000000000122</v>
      </c>
      <c r="R46" s="352">
        <v>96.300000000000139</v>
      </c>
    </row>
    <row r="47" spans="1:18" ht="9" customHeight="1" x14ac:dyDescent="0.2">
      <c r="A47" s="365" t="str">
        <f>+[2]rapkvart!$B49</f>
        <v>Innehav utan bestämmande inflytande</v>
      </c>
      <c r="B47" s="666"/>
      <c r="C47" s="361">
        <f>[2]rapkvart!$D49</f>
        <v>1.5</v>
      </c>
      <c r="D47" s="352">
        <f>[2]rapkvart!$E49</f>
        <v>1.4</v>
      </c>
      <c r="E47" s="361">
        <f>[2]rapkvart!$F49</f>
        <v>2.6</v>
      </c>
      <c r="F47" s="352">
        <f>[2]rapkvart!$G49</f>
        <v>3</v>
      </c>
      <c r="G47" s="352">
        <f>[2]rapkvart!$H49</f>
        <v>4.1999999999999993</v>
      </c>
      <c r="H47" s="352">
        <f>[2]rapkvart!$R49</f>
        <v>4.5999999999999996</v>
      </c>
      <c r="M47" s="365" t="str">
        <f>+[2]rapkvart!$A49</f>
        <v>Non-controlling interests</v>
      </c>
      <c r="N47" s="666"/>
      <c r="O47" s="361">
        <v>0.79999999999999982</v>
      </c>
      <c r="P47" s="352">
        <v>0</v>
      </c>
      <c r="Q47" s="361">
        <v>4.5999999999999996</v>
      </c>
      <c r="R47" s="352">
        <v>6.4</v>
      </c>
    </row>
    <row r="48" spans="1:18" ht="12" customHeight="1" x14ac:dyDescent="0.2">
      <c r="A48" s="259"/>
      <c r="B48" s="478"/>
      <c r="C48" s="259"/>
      <c r="D48" s="259"/>
      <c r="E48" s="259"/>
      <c r="F48" s="259"/>
      <c r="G48" s="259"/>
      <c r="H48" s="259"/>
    </row>
    <row r="50" spans="1:20" x14ac:dyDescent="0.2">
      <c r="J50" s="244" t="s">
        <v>22</v>
      </c>
      <c r="K50" s="244" t="s">
        <v>22</v>
      </c>
      <c r="M50" s="671" t="s">
        <v>575</v>
      </c>
    </row>
    <row r="51" spans="1:20" x14ac:dyDescent="0.2">
      <c r="A51" s="260" t="s">
        <v>195</v>
      </c>
      <c r="B51" s="266"/>
      <c r="C51" s="261" t="str">
        <f>[2]rapkvart!D$4</f>
        <v>Kvartal 2</v>
      </c>
      <c r="D51" s="261" t="str">
        <f>[2]rapkvart!E$4</f>
        <v>Kvartal 2</v>
      </c>
      <c r="E51" s="261" t="str">
        <f>[2]rapkvart!F$4</f>
        <v>Kvartal 1-2</v>
      </c>
      <c r="F51" s="261" t="str">
        <f>[2]rapkvart!G$4</f>
        <v>Kvartal 1-2</v>
      </c>
      <c r="G51" s="261" t="str">
        <f>[2]rapkvart!H$4</f>
        <v>12 mån</v>
      </c>
      <c r="H51" s="261"/>
      <c r="J51" s="244" t="s">
        <v>576</v>
      </c>
      <c r="K51" s="244" t="s">
        <v>576</v>
      </c>
      <c r="M51" s="260" t="s">
        <v>577</v>
      </c>
      <c r="N51" s="266"/>
      <c r="O51" s="261" t="s">
        <v>524</v>
      </c>
      <c r="P51" s="261" t="s">
        <v>524</v>
      </c>
      <c r="Q51" s="261" t="s">
        <v>525</v>
      </c>
      <c r="R51" s="261" t="s">
        <v>525</v>
      </c>
      <c r="T51" s="242">
        <v>1</v>
      </c>
    </row>
    <row r="52" spans="1:20" x14ac:dyDescent="0.2">
      <c r="A52" s="273" t="str">
        <f>+A3</f>
        <v>Mkr</v>
      </c>
      <c r="B52" s="274"/>
      <c r="C52" s="275">
        <f>[2]rapkvart!D$5</f>
        <v>2026</v>
      </c>
      <c r="D52" s="275">
        <f>[2]rapkvart!E$5</f>
        <v>2025</v>
      </c>
      <c r="E52" s="275">
        <f>[2]rapkvart!F$5</f>
        <v>2026</v>
      </c>
      <c r="F52" s="275">
        <f>[2]rapkvart!G$5</f>
        <v>2025</v>
      </c>
      <c r="G52" s="275" t="str">
        <f>[2]rapkvart!H$5</f>
        <v>rullande</v>
      </c>
      <c r="H52" s="275">
        <f>[2]rapkvart!I$5</f>
        <v>2025</v>
      </c>
      <c r="J52" s="244">
        <v>2025</v>
      </c>
      <c r="K52" s="244">
        <v>2024</v>
      </c>
      <c r="M52" s="273" t="s">
        <v>218</v>
      </c>
      <c r="N52" s="274"/>
      <c r="O52" s="275">
        <v>2025</v>
      </c>
      <c r="P52" s="275">
        <v>2024</v>
      </c>
      <c r="Q52" s="275">
        <v>2025</v>
      </c>
      <c r="R52" s="275">
        <v>2024</v>
      </c>
      <c r="T52" s="242">
        <f>T51+1</f>
        <v>2</v>
      </c>
    </row>
    <row r="53" spans="1:20" ht="9.9499999999999993" customHeight="1" x14ac:dyDescent="0.2">
      <c r="A53" s="286" t="s">
        <v>224</v>
      </c>
      <c r="B53" s="672"/>
      <c r="C53" s="673">
        <f>+C4+J53</f>
        <v>684.69999999999993</v>
      </c>
      <c r="D53" s="672">
        <f>+D4+K53</f>
        <v>671.99999999999989</v>
      </c>
      <c r="E53" s="674">
        <v>2329.8000000000002</v>
      </c>
      <c r="F53" s="675">
        <v>2271.8000000000002</v>
      </c>
      <c r="M53" s="676" t="str">
        <f t="shared" ref="M53:M59" si="0">M104</f>
        <v>Net turnover</v>
      </c>
      <c r="N53" s="672"/>
      <c r="O53" s="673">
        <v>520.40000000000009</v>
      </c>
      <c r="P53" s="672">
        <v>579.50000000000023</v>
      </c>
      <c r="Q53" s="674">
        <v>2329.8000000000002</v>
      </c>
      <c r="R53" s="675">
        <v>2271.8000000000002</v>
      </c>
      <c r="T53" s="242">
        <f t="shared" ref="T53:T96" si="1">T52+1</f>
        <v>3</v>
      </c>
    </row>
    <row r="54" spans="1:20" ht="9.9499999999999993" customHeight="1" x14ac:dyDescent="0.2">
      <c r="A54" s="298" t="s">
        <v>63</v>
      </c>
      <c r="B54" s="259"/>
      <c r="C54" s="677">
        <f>+C5+J54</f>
        <v>-530.59999999999991</v>
      </c>
      <c r="D54" s="259">
        <f>+D5+K54</f>
        <v>-572.70000000000005</v>
      </c>
      <c r="E54" s="677">
        <v>-1952.7</v>
      </c>
      <c r="F54" s="259">
        <v>-1889.2</v>
      </c>
      <c r="J54" s="678">
        <f>18.3+3.5</f>
        <v>21.8</v>
      </c>
      <c r="K54" s="678">
        <f>18.7+3.3</f>
        <v>22</v>
      </c>
      <c r="L54" s="242" t="s">
        <v>578</v>
      </c>
      <c r="M54" s="679" t="str">
        <f t="shared" si="0"/>
        <v>Cost of goods sold excluded depreciations</v>
      </c>
      <c r="N54" s="259"/>
      <c r="O54" s="677">
        <v>-437.2</v>
      </c>
      <c r="P54" s="259">
        <v>-492.5</v>
      </c>
      <c r="Q54" s="677">
        <v>-1952.7</v>
      </c>
      <c r="R54" s="259">
        <v>-1889.2</v>
      </c>
      <c r="T54" s="242">
        <f t="shared" si="1"/>
        <v>4</v>
      </c>
    </row>
    <row r="55" spans="1:20" ht="9.9499999999999993" customHeight="1" x14ac:dyDescent="0.2">
      <c r="A55" s="307" t="s">
        <v>232</v>
      </c>
      <c r="B55" s="680"/>
      <c r="C55" s="681">
        <f>SUM(C53:C54)</f>
        <v>154.10000000000002</v>
      </c>
      <c r="D55" s="682">
        <f>SUM(D53:D54)</f>
        <v>99.299999999999841</v>
      </c>
      <c r="E55" s="681">
        <v>377.10000000000014</v>
      </c>
      <c r="F55" s="682">
        <v>382.26</v>
      </c>
      <c r="M55" s="683" t="str">
        <f t="shared" si="0"/>
        <v>Gross Margin excluded depreciations</v>
      </c>
      <c r="N55" s="680"/>
      <c r="O55" s="681">
        <v>83.200000000000102</v>
      </c>
      <c r="P55" s="682">
        <v>87.000000000000227</v>
      </c>
      <c r="Q55" s="681">
        <v>377.10000000000014</v>
      </c>
      <c r="R55" s="682">
        <v>382.26</v>
      </c>
      <c r="T55" s="242">
        <f t="shared" si="1"/>
        <v>5</v>
      </c>
    </row>
    <row r="56" spans="1:20" ht="9.9499999999999993" customHeight="1" x14ac:dyDescent="0.2">
      <c r="A56" s="311" t="s">
        <v>235</v>
      </c>
      <c r="B56" s="519"/>
      <c r="C56" s="684">
        <f>+C8+J526</f>
        <v>0.1</v>
      </c>
      <c r="D56" s="519">
        <f>+D8+K526</f>
        <v>0.2</v>
      </c>
      <c r="E56" s="684">
        <v>1.1000000000000001</v>
      </c>
      <c r="F56" s="519">
        <v>0.26</v>
      </c>
      <c r="M56" s="661" t="str">
        <f t="shared" si="0"/>
        <v xml:space="preserve">Other operating revenues </v>
      </c>
      <c r="N56" s="519"/>
      <c r="O56" s="684">
        <v>0.50000000000000011</v>
      </c>
      <c r="P56" s="519">
        <v>0.3</v>
      </c>
      <c r="Q56" s="684">
        <v>1.1000000000000001</v>
      </c>
      <c r="R56" s="519">
        <v>0.26</v>
      </c>
      <c r="T56" s="242">
        <f t="shared" si="1"/>
        <v>6</v>
      </c>
    </row>
    <row r="57" spans="1:20" ht="9.9499999999999993" customHeight="1" x14ac:dyDescent="0.2">
      <c r="A57" s="298" t="s">
        <v>74</v>
      </c>
      <c r="B57" s="685"/>
      <c r="C57" s="686">
        <f>+C9+C10+J57</f>
        <v>-40</v>
      </c>
      <c r="D57" s="685">
        <f>+D9+D10+K57</f>
        <v>-37.1</v>
      </c>
      <c r="E57" s="686">
        <v>-140.80000000000001</v>
      </c>
      <c r="F57" s="685">
        <v>-134</v>
      </c>
      <c r="M57" s="679" t="str">
        <f t="shared" si="0"/>
        <v>Selling and administrative expenses</v>
      </c>
      <c r="N57" s="685"/>
      <c r="O57" s="686">
        <v>-40.299999999999997</v>
      </c>
      <c r="P57" s="685">
        <v>-36.699999999999996</v>
      </c>
      <c r="Q57" s="686">
        <v>-140.80000000000001</v>
      </c>
      <c r="R57" s="685">
        <v>-134</v>
      </c>
      <c r="T57" s="242">
        <f t="shared" si="1"/>
        <v>7</v>
      </c>
    </row>
    <row r="58" spans="1:20" ht="9.9499999999999993" customHeight="1" x14ac:dyDescent="0.2">
      <c r="A58" s="318" t="s">
        <v>251</v>
      </c>
      <c r="B58" s="687"/>
      <c r="C58" s="688">
        <f>+C11+J58</f>
        <v>0</v>
      </c>
      <c r="D58" s="687">
        <f>+D11+K58</f>
        <v>0</v>
      </c>
      <c r="E58" s="688">
        <v>-0.1</v>
      </c>
      <c r="F58" s="687">
        <v>-0.9</v>
      </c>
      <c r="M58" s="689" t="str">
        <f t="shared" si="0"/>
        <v>Other operating expenses</v>
      </c>
      <c r="N58" s="687"/>
      <c r="O58" s="688">
        <v>0</v>
      </c>
      <c r="P58" s="687">
        <v>0</v>
      </c>
      <c r="Q58" s="688">
        <v>-0.1</v>
      </c>
      <c r="R58" s="687">
        <v>-0.9</v>
      </c>
      <c r="T58" s="242">
        <f t="shared" si="1"/>
        <v>8</v>
      </c>
    </row>
    <row r="59" spans="1:20" ht="9.9499999999999993" customHeight="1" x14ac:dyDescent="0.2">
      <c r="A59" s="307" t="s">
        <v>256</v>
      </c>
      <c r="B59" s="680"/>
      <c r="C59" s="681">
        <f>SUM(C55:C58)</f>
        <v>114.20000000000002</v>
      </c>
      <c r="D59" s="682">
        <f>SUM(D55:D58)</f>
        <v>62.399999999999842</v>
      </c>
      <c r="E59" s="681">
        <v>237.30000000000015</v>
      </c>
      <c r="F59" s="682">
        <v>248.30000000000015</v>
      </c>
      <c r="M59" s="683" t="str">
        <f t="shared" si="0"/>
        <v>EBITDA</v>
      </c>
      <c r="N59" s="680"/>
      <c r="O59" s="681">
        <v>43.400000000000105</v>
      </c>
      <c r="P59" s="682">
        <v>50.600000000000229</v>
      </c>
      <c r="Q59" s="681">
        <v>237.30000000000015</v>
      </c>
      <c r="R59" s="682">
        <v>248.30000000000015</v>
      </c>
      <c r="T59" s="242">
        <f t="shared" si="1"/>
        <v>9</v>
      </c>
    </row>
    <row r="60" spans="1:20" ht="9.9499999999999993" customHeight="1" x14ac:dyDescent="0.2">
      <c r="A60" s="311" t="s">
        <v>261</v>
      </c>
      <c r="B60" s="690"/>
      <c r="C60" s="684">
        <f>SUM(C61:C63)</f>
        <v>-46.125</v>
      </c>
      <c r="D60" s="519">
        <f>SUM(D61:D63)</f>
        <v>-46.325000000000003</v>
      </c>
      <c r="E60" s="684">
        <v>-185.98892988712601</v>
      </c>
      <c r="F60" s="519">
        <v>-184.8326185263</v>
      </c>
      <c r="M60" s="661" t="s">
        <v>262</v>
      </c>
      <c r="N60" s="690"/>
      <c r="O60" s="684">
        <v>-46.125</v>
      </c>
      <c r="P60" s="519">
        <v>-46.325000000000003</v>
      </c>
      <c r="Q60" s="684">
        <v>-185.98892988712601</v>
      </c>
      <c r="R60" s="519">
        <v>-184.8326185263</v>
      </c>
      <c r="T60" s="242">
        <f t="shared" si="1"/>
        <v>10</v>
      </c>
    </row>
    <row r="61" spans="1:20" ht="9.9499999999999993" customHeight="1" x14ac:dyDescent="0.2">
      <c r="A61" s="324" t="s">
        <v>269</v>
      </c>
      <c r="B61" s="259"/>
      <c r="C61" s="691">
        <f>+J61</f>
        <v>-0.97499999999999998</v>
      </c>
      <c r="D61" s="441">
        <f>+K61</f>
        <v>-0.97499999999999998</v>
      </c>
      <c r="E61" s="691">
        <v>-3.85274425712652</v>
      </c>
      <c r="F61" s="441">
        <v>-3.9</v>
      </c>
      <c r="J61" s="678">
        <f>-3.9/4</f>
        <v>-0.97499999999999998</v>
      </c>
      <c r="K61" s="678">
        <f>-3.9/4</f>
        <v>-0.97499999999999998</v>
      </c>
      <c r="M61" s="692" t="str">
        <f>M112</f>
        <v>depreciations intangible assets</v>
      </c>
      <c r="N61" s="259"/>
      <c r="O61" s="691">
        <v>-0.97499999999999998</v>
      </c>
      <c r="P61" s="441">
        <v>-0.97499999999999998</v>
      </c>
      <c r="Q61" s="691">
        <v>-3.85274425712652</v>
      </c>
      <c r="R61" s="441">
        <v>-3.9</v>
      </c>
      <c r="T61" s="242">
        <f t="shared" si="1"/>
        <v>11</v>
      </c>
    </row>
    <row r="62" spans="1:20" ht="9.9499999999999993" customHeight="1" x14ac:dyDescent="0.2">
      <c r="A62" s="324" t="s">
        <v>276</v>
      </c>
      <c r="B62" s="441"/>
      <c r="C62" s="691">
        <f t="shared" ref="C62" si="2">+J62</f>
        <v>-7.1000000000000005</v>
      </c>
      <c r="D62" s="441">
        <f>+K62</f>
        <v>-7.1000000000000005</v>
      </c>
      <c r="E62" s="691">
        <v>-28.301087109999997</v>
      </c>
      <c r="F62" s="441">
        <v>-28.301087109999997</v>
      </c>
      <c r="J62" s="678">
        <f>-21.6/4-1.7</f>
        <v>-7.1000000000000005</v>
      </c>
      <c r="K62" s="678">
        <f>-21.6/4-1.7</f>
        <v>-7.1000000000000005</v>
      </c>
      <c r="M62" s="692" t="str">
        <f>M113</f>
        <v>depreciations building and property</v>
      </c>
      <c r="N62" s="441"/>
      <c r="O62" s="691">
        <v>-7.1000000000000005</v>
      </c>
      <c r="P62" s="441">
        <v>-7.1000000000000005</v>
      </c>
      <c r="Q62" s="691">
        <v>-28.301087109999997</v>
      </c>
      <c r="R62" s="441">
        <v>-28.301087109999997</v>
      </c>
      <c r="T62" s="242">
        <f t="shared" si="1"/>
        <v>12</v>
      </c>
    </row>
    <row r="63" spans="1:20" ht="9.9499999999999993" customHeight="1" thickBot="1" x14ac:dyDescent="0.25">
      <c r="A63" s="326" t="s">
        <v>282</v>
      </c>
      <c r="B63" s="693"/>
      <c r="C63" s="691">
        <f>+J63</f>
        <v>-38.049999999999997</v>
      </c>
      <c r="D63" s="693">
        <f>+K63</f>
        <v>-38.25</v>
      </c>
      <c r="E63" s="694">
        <v>-153.83509852000003</v>
      </c>
      <c r="F63" s="693">
        <v>-152.263509852</v>
      </c>
      <c r="J63" s="678">
        <f>-71.8/4-16.6-3.5</f>
        <v>-38.049999999999997</v>
      </c>
      <c r="K63" s="678">
        <f>-71.8/4-17-3.3</f>
        <v>-38.25</v>
      </c>
      <c r="M63" s="695" t="str">
        <f>M114</f>
        <v>depreciations machinery and equipment</v>
      </c>
      <c r="N63" s="693"/>
      <c r="O63" s="691">
        <v>-38.049999999999997</v>
      </c>
      <c r="P63" s="693">
        <v>-38.25</v>
      </c>
      <c r="Q63" s="694">
        <v>-153.83509852000003</v>
      </c>
      <c r="R63" s="693">
        <v>-152.263509852</v>
      </c>
      <c r="T63" s="242">
        <f t="shared" si="1"/>
        <v>13</v>
      </c>
    </row>
    <row r="64" spans="1:20" ht="9.9499999999999993" customHeight="1" x14ac:dyDescent="0.2">
      <c r="A64" s="333" t="s">
        <v>294</v>
      </c>
      <c r="B64" s="696"/>
      <c r="C64" s="697">
        <f>SUM(C59:C60)</f>
        <v>68.075000000000017</v>
      </c>
      <c r="D64" s="698">
        <f>SUM(D59:D60)</f>
        <v>16.074999999999839</v>
      </c>
      <c r="E64" s="697">
        <v>51.311070112834841</v>
      </c>
      <c r="F64" s="698">
        <v>63.463814370000001</v>
      </c>
      <c r="M64" s="665" t="str">
        <f>M12</f>
        <v>Operating profit/loss</v>
      </c>
      <c r="N64" s="696"/>
      <c r="O64" s="697">
        <v>-2.7249999999998948</v>
      </c>
      <c r="P64" s="698">
        <v>4.275000000000226</v>
      </c>
      <c r="Q64" s="697">
        <v>51.311070112834841</v>
      </c>
      <c r="R64" s="698">
        <v>63.463814370000001</v>
      </c>
      <c r="T64" s="242">
        <f t="shared" si="1"/>
        <v>14</v>
      </c>
    </row>
    <row r="65" spans="1:20" ht="9.9499999999999993" customHeight="1" x14ac:dyDescent="0.2">
      <c r="A65" s="337" t="s">
        <v>300</v>
      </c>
      <c r="B65" s="690"/>
      <c r="C65" s="699">
        <f>+C14+J65</f>
        <v>0.19999999999999996</v>
      </c>
      <c r="D65" s="700">
        <f>+D14+K65</f>
        <v>0.19999999999999996</v>
      </c>
      <c r="E65" s="699">
        <v>2.2000000000000002</v>
      </c>
      <c r="F65" s="700">
        <v>3.7</v>
      </c>
      <c r="M65" s="701" t="str">
        <f>M14</f>
        <v>Financial income</v>
      </c>
      <c r="N65" s="690"/>
      <c r="O65" s="699">
        <v>1.5000000000000002</v>
      </c>
      <c r="P65" s="700">
        <v>-0.29999999999999982</v>
      </c>
      <c r="Q65" s="699">
        <v>2.2000000000000002</v>
      </c>
      <c r="R65" s="700">
        <v>3.7</v>
      </c>
      <c r="T65" s="242">
        <f t="shared" si="1"/>
        <v>15</v>
      </c>
    </row>
    <row r="66" spans="1:20" ht="9.9499999999999993" customHeight="1" x14ac:dyDescent="0.2">
      <c r="A66" s="337" t="s">
        <v>303</v>
      </c>
      <c r="B66" s="690"/>
      <c r="C66" s="699">
        <f>+C15+J66</f>
        <v>-4.5</v>
      </c>
      <c r="D66" s="700">
        <f>+D15+K66</f>
        <v>-6</v>
      </c>
      <c r="E66" s="699">
        <v>-9.1</v>
      </c>
      <c r="F66" s="700">
        <v>-31.26</v>
      </c>
      <c r="M66" s="701" t="str">
        <f>M15</f>
        <v>Financial expenses</v>
      </c>
      <c r="N66" s="690"/>
      <c r="O66" s="699">
        <v>-1.6999999999999993</v>
      </c>
      <c r="P66" s="700">
        <v>-6.1000000000000014</v>
      </c>
      <c r="Q66" s="699">
        <v>-9.1</v>
      </c>
      <c r="R66" s="700">
        <v>-31.26</v>
      </c>
      <c r="T66" s="242">
        <f t="shared" si="1"/>
        <v>16</v>
      </c>
    </row>
    <row r="67" spans="1:20" ht="9.9499999999999993" customHeight="1" x14ac:dyDescent="0.2">
      <c r="A67" s="344" t="s">
        <v>307</v>
      </c>
      <c r="B67" s="702"/>
      <c r="C67" s="703">
        <f>SUM(C65:C66)</f>
        <v>-4.3</v>
      </c>
      <c r="D67" s="257">
        <f>SUM(D65:D66)</f>
        <v>-5.8</v>
      </c>
      <c r="E67" s="703">
        <v>-6.9</v>
      </c>
      <c r="F67" s="257">
        <v>-27.900000000000002</v>
      </c>
      <c r="J67" s="242">
        <f>E69/E68</f>
        <v>-0.22219336534149586</v>
      </c>
      <c r="K67" s="242">
        <f>F69/F68</f>
        <v>-0.24706215378577684</v>
      </c>
      <c r="M67" s="659" t="str">
        <f>M16</f>
        <v>Net financial income/expense</v>
      </c>
      <c r="N67" s="702"/>
      <c r="O67" s="703">
        <v>-0.19999999999999907</v>
      </c>
      <c r="P67" s="257">
        <v>-6.4000000000000012</v>
      </c>
      <c r="Q67" s="703">
        <v>-6.9</v>
      </c>
      <c r="R67" s="257">
        <v>-27.900000000000002</v>
      </c>
      <c r="T67" s="242">
        <f t="shared" si="1"/>
        <v>17</v>
      </c>
    </row>
    <row r="68" spans="1:20" ht="9.9499999999999993" customHeight="1" x14ac:dyDescent="0.2">
      <c r="A68" s="344" t="s">
        <v>312</v>
      </c>
      <c r="B68" s="344"/>
      <c r="C68" s="703">
        <f>SUM(C64,C67)</f>
        <v>63.77500000000002</v>
      </c>
      <c r="D68" s="257">
        <f>SUM(D64,D67)</f>
        <v>10.274999999999839</v>
      </c>
      <c r="E68" s="703">
        <v>44.411070112834842</v>
      </c>
      <c r="F68" s="257">
        <v>35.526381436999998</v>
      </c>
      <c r="M68" s="659" t="str">
        <f>M18</f>
        <v>Income after financial items</v>
      </c>
      <c r="N68" s="344"/>
      <c r="O68" s="703">
        <v>-2.9249999999998941</v>
      </c>
      <c r="P68" s="257">
        <v>-2.1249999999997753</v>
      </c>
      <c r="Q68" s="703">
        <v>44.411070112834842</v>
      </c>
      <c r="R68" s="257">
        <v>35.526381436999998</v>
      </c>
      <c r="T68" s="242">
        <f t="shared" si="1"/>
        <v>18</v>
      </c>
    </row>
    <row r="69" spans="1:20" ht="9.9499999999999993" customHeight="1" thickBot="1" x14ac:dyDescent="0.25">
      <c r="A69" s="349" t="s">
        <v>317</v>
      </c>
      <c r="B69" s="653"/>
      <c r="C69" s="704">
        <f>I70</f>
        <v>-13.137650000000002</v>
      </c>
      <c r="D69" s="705">
        <f>J70</f>
        <v>-2.1166499999999666</v>
      </c>
      <c r="E69" s="704">
        <v>-9.8678451267879002</v>
      </c>
      <c r="F69" s="705">
        <v>-8.7772243140402608</v>
      </c>
      <c r="J69" s="678">
        <f>-J72</f>
        <v>-4</v>
      </c>
      <c r="K69" s="678"/>
      <c r="M69" s="651" t="str">
        <f t="shared" ref="M69:M77" si="3">M20</f>
        <v>Income tax from continuing operations</v>
      </c>
      <c r="N69" s="653"/>
      <c r="O69" s="704">
        <v>0.60254999999997816</v>
      </c>
      <c r="P69" s="705">
        <v>0.43774999999995368</v>
      </c>
      <c r="Q69" s="704">
        <v>-9.8678451267879002</v>
      </c>
      <c r="R69" s="705">
        <v>-8.7772243140402608</v>
      </c>
      <c r="T69" s="242">
        <f t="shared" si="1"/>
        <v>19</v>
      </c>
    </row>
    <row r="70" spans="1:20" ht="9.9499999999999993" customHeight="1" x14ac:dyDescent="0.2">
      <c r="A70" s="344" t="s">
        <v>320</v>
      </c>
      <c r="B70" s="344"/>
      <c r="C70" s="703">
        <f>SUM(C68:C69)</f>
        <v>50.637350000000019</v>
      </c>
      <c r="D70" s="257">
        <f>SUM(D68:D69)</f>
        <v>8.1583499999998725</v>
      </c>
      <c r="E70" s="703">
        <v>34.5432249449549</v>
      </c>
      <c r="F70" s="257">
        <v>26.782659005595001</v>
      </c>
      <c r="I70" s="242">
        <f>-C68*0.206</f>
        <v>-13.137650000000002</v>
      </c>
      <c r="J70" s="242">
        <f>-D68*0.206</f>
        <v>-2.1166499999999666</v>
      </c>
      <c r="M70" s="659" t="str">
        <f t="shared" si="3"/>
        <v>Profit for the period from continuing operations</v>
      </c>
      <c r="N70" s="344"/>
      <c r="O70" s="703">
        <v>-2.322449999999916</v>
      </c>
      <c r="P70" s="257">
        <v>-1.6872499999998216</v>
      </c>
      <c r="Q70" s="703">
        <v>34.5432249449549</v>
      </c>
      <c r="R70" s="257">
        <v>26.782659005595001</v>
      </c>
      <c r="T70" s="242">
        <f t="shared" si="1"/>
        <v>20</v>
      </c>
    </row>
    <row r="71" spans="1:20" ht="9.9499999999999993" customHeight="1" x14ac:dyDescent="0.2">
      <c r="A71" s="311" t="s">
        <v>324</v>
      </c>
      <c r="B71" s="311"/>
      <c r="C71" s="684">
        <f>+C22+J71</f>
        <v>-0.79999999999999982</v>
      </c>
      <c r="D71" s="520">
        <f>+D22+K71</f>
        <v>-9.2999999999999989</v>
      </c>
      <c r="E71" s="684">
        <v>-40</v>
      </c>
      <c r="F71" s="520">
        <v>0</v>
      </c>
      <c r="J71" s="678"/>
      <c r="K71" s="678"/>
      <c r="M71" s="661" t="str">
        <f t="shared" si="3"/>
        <v>Loss for the period from discontinued operations</v>
      </c>
      <c r="N71" s="311"/>
      <c r="O71" s="684">
        <v>-19.399999999999999</v>
      </c>
      <c r="P71" s="520">
        <v>0</v>
      </c>
      <c r="Q71" s="684">
        <v>-40</v>
      </c>
      <c r="R71" s="520">
        <v>0</v>
      </c>
      <c r="T71" s="242">
        <f t="shared" si="1"/>
        <v>21</v>
      </c>
    </row>
    <row r="72" spans="1:20" ht="9.9499999999999993" customHeight="1" x14ac:dyDescent="0.2">
      <c r="A72" s="337" t="s">
        <v>67</v>
      </c>
      <c r="B72" s="337"/>
      <c r="C72" s="699">
        <f>+J72</f>
        <v>4</v>
      </c>
      <c r="D72" s="700">
        <f>+K72</f>
        <v>0</v>
      </c>
      <c r="E72" s="699">
        <v>7.8848000000000003</v>
      </c>
      <c r="F72" s="700">
        <v>0</v>
      </c>
      <c r="J72" s="678">
        <v>4</v>
      </c>
      <c r="K72" s="678"/>
      <c r="M72" s="701" t="str">
        <f>M23</f>
        <v>Income tax from discontinued operations</v>
      </c>
      <c r="N72" s="337"/>
      <c r="O72" s="699">
        <v>4</v>
      </c>
      <c r="P72" s="700">
        <v>0</v>
      </c>
      <c r="Q72" s="699">
        <v>7.8848000000000003</v>
      </c>
      <c r="R72" s="700">
        <v>0</v>
      </c>
      <c r="T72" s="242">
        <f t="shared" si="1"/>
        <v>22</v>
      </c>
    </row>
    <row r="73" spans="1:20" ht="9.9499999999999993" customHeight="1" thickBot="1" x14ac:dyDescent="0.25">
      <c r="A73" s="344" t="s">
        <v>330</v>
      </c>
      <c r="B73" s="344"/>
      <c r="C73" s="703">
        <f>SUM(C71:C72)</f>
        <v>3.2</v>
      </c>
      <c r="D73" s="262">
        <f>SUM(D71:D72)</f>
        <v>-9.2999999999999989</v>
      </c>
      <c r="E73" s="703">
        <v>-32.115200000000002</v>
      </c>
      <c r="F73" s="262">
        <f>SUM(F71:F72)</f>
        <v>0</v>
      </c>
      <c r="M73" s="659" t="str">
        <f t="shared" si="3"/>
        <v>Loss for the period from discontinued operations</v>
      </c>
      <c r="N73" s="344"/>
      <c r="O73" s="703">
        <v>-15.399999999999999</v>
      </c>
      <c r="P73" s="262">
        <v>0</v>
      </c>
      <c r="Q73" s="703">
        <v>-32.115200000000002</v>
      </c>
      <c r="R73" s="262">
        <v>0</v>
      </c>
      <c r="T73" s="242">
        <f t="shared" si="1"/>
        <v>23</v>
      </c>
    </row>
    <row r="74" spans="1:20" ht="9.9499999999999993" customHeight="1" x14ac:dyDescent="0.2">
      <c r="A74" s="333" t="s">
        <v>335</v>
      </c>
      <c r="B74" s="333"/>
      <c r="C74" s="697">
        <f>C70+C73</f>
        <v>53.837350000000022</v>
      </c>
      <c r="D74" s="698">
        <f>D70+D73</f>
        <v>-1.1416500000001264</v>
      </c>
      <c r="E74" s="697">
        <v>2.4280249449549434</v>
      </c>
      <c r="F74" s="698">
        <f>F70+F73</f>
        <v>26.782659005595001</v>
      </c>
      <c r="M74" s="665" t="str">
        <f t="shared" si="3"/>
        <v>Net income for the period</v>
      </c>
      <c r="N74" s="333"/>
      <c r="O74" s="697">
        <v>-17.722449999999913</v>
      </c>
      <c r="P74" s="698">
        <v>-1.6872499999998216</v>
      </c>
      <c r="Q74" s="697">
        <v>2.4280249449549434</v>
      </c>
      <c r="R74" s="698">
        <v>26.782659005595001</v>
      </c>
      <c r="T74" s="242">
        <f t="shared" si="1"/>
        <v>24</v>
      </c>
    </row>
    <row r="75" spans="1:20" ht="9.9499999999999993" customHeight="1" x14ac:dyDescent="0.2">
      <c r="A75" s="352" t="s">
        <v>337</v>
      </c>
      <c r="B75" s="259"/>
      <c r="C75" s="471"/>
      <c r="D75" s="259"/>
      <c r="E75" s="471"/>
      <c r="F75" s="259"/>
      <c r="M75" s="663" t="str">
        <f t="shared" si="3"/>
        <v>of which attributable to:</v>
      </c>
      <c r="N75" s="259"/>
      <c r="O75" s="471"/>
      <c r="P75" s="259"/>
      <c r="Q75" s="471"/>
      <c r="R75" s="259"/>
      <c r="T75" s="242">
        <f t="shared" si="1"/>
        <v>25</v>
      </c>
    </row>
    <row r="76" spans="1:20" ht="9.9499999999999993" customHeight="1" x14ac:dyDescent="0.2">
      <c r="A76" s="362" t="s">
        <v>340</v>
      </c>
      <c r="B76" s="690"/>
      <c r="C76" s="684">
        <f>+C74-C77</f>
        <v>52.337350000000022</v>
      </c>
      <c r="D76" s="520">
        <f>+D74-D77</f>
        <v>-2.5416500000001263</v>
      </c>
      <c r="E76" s="684">
        <v>-2.1719750550450199</v>
      </c>
      <c r="F76" s="520">
        <v>20.382659005595901</v>
      </c>
      <c r="M76" s="706" t="str">
        <f t="shared" si="3"/>
        <v>Owners of the parent</v>
      </c>
      <c r="N76" s="690"/>
      <c r="O76" s="684">
        <v>-18.522449999999914</v>
      </c>
      <c r="P76" s="520">
        <v>-1.6872499999998216</v>
      </c>
      <c r="Q76" s="684">
        <v>-2.1719750550450199</v>
      </c>
      <c r="R76" s="520">
        <v>20.382659005595901</v>
      </c>
      <c r="T76" s="242">
        <f t="shared" si="1"/>
        <v>26</v>
      </c>
    </row>
    <row r="77" spans="1:20" ht="9.9499999999999993" customHeight="1" x14ac:dyDescent="0.2">
      <c r="A77" s="365" t="s">
        <v>346</v>
      </c>
      <c r="B77" s="259"/>
      <c r="C77" s="471">
        <f>+C28+J77</f>
        <v>1.5</v>
      </c>
      <c r="D77" s="259">
        <f>+D28+K77</f>
        <v>1.4</v>
      </c>
      <c r="E77" s="471">
        <v>4.26</v>
      </c>
      <c r="F77" s="259">
        <v>6.4</v>
      </c>
      <c r="M77" s="707" t="str">
        <f t="shared" si="3"/>
        <v>Non-controlling interests</v>
      </c>
      <c r="N77" s="259"/>
      <c r="O77" s="471">
        <v>0.79999999999999982</v>
      </c>
      <c r="P77" s="259">
        <v>0</v>
      </c>
      <c r="Q77" s="471">
        <v>4.26</v>
      </c>
      <c r="R77" s="259">
        <v>6.4</v>
      </c>
      <c r="T77" s="242">
        <f t="shared" si="1"/>
        <v>27</v>
      </c>
    </row>
    <row r="78" spans="1:20" ht="3.75" customHeight="1" x14ac:dyDescent="0.2">
      <c r="A78" s="365"/>
      <c r="B78" s="259"/>
      <c r="C78" s="471"/>
      <c r="D78" s="259"/>
      <c r="E78" s="471"/>
      <c r="F78" s="259"/>
      <c r="M78" s="365"/>
      <c r="N78" s="259"/>
      <c r="O78" s="471"/>
      <c r="P78" s="259"/>
      <c r="Q78" s="471"/>
      <c r="R78" s="259"/>
      <c r="T78" s="242">
        <f t="shared" si="1"/>
        <v>28</v>
      </c>
    </row>
    <row r="79" spans="1:20" ht="9.9499999999999993" customHeight="1" x14ac:dyDescent="0.2">
      <c r="A79" s="352" t="s">
        <v>351</v>
      </c>
      <c r="B79" s="363"/>
      <c r="C79" s="471">
        <f>(C70-C77)/$L$84*1000000</f>
        <v>6.6412818338170867</v>
      </c>
      <c r="D79" s="259">
        <f>(D70-D77)/$L$84*1000000</f>
        <v>0.91344175218193169</v>
      </c>
      <c r="E79" s="471">
        <v>4.0470517004443227</v>
      </c>
      <c r="F79" s="259">
        <v>2.7554007322683298</v>
      </c>
      <c r="M79" s="663" t="s">
        <v>579</v>
      </c>
      <c r="N79" s="363"/>
      <c r="O79" s="471">
        <v>-0.42202256454614662</v>
      </c>
      <c r="P79" s="259">
        <v>-0.22804450736774962</v>
      </c>
      <c r="Q79" s="471">
        <v>4.0470517004443227</v>
      </c>
      <c r="R79" s="259">
        <v>2.7554007322683298</v>
      </c>
      <c r="T79" s="242">
        <f t="shared" si="1"/>
        <v>29</v>
      </c>
    </row>
    <row r="80" spans="1:20" ht="9.9499999999999993" customHeight="1" x14ac:dyDescent="0.2">
      <c r="A80" s="352" t="s">
        <v>356</v>
      </c>
      <c r="B80" s="363"/>
      <c r="C80" s="471">
        <f>(C71+C72)/L84*1000000</f>
        <v>0.43250402938324256</v>
      </c>
      <c r="D80" s="259">
        <f>(D71+D72)/L84*1000000</f>
        <v>-1.2569648353950484</v>
      </c>
      <c r="E80" s="471">
        <v>-4.3402610438890203</v>
      </c>
      <c r="F80" s="259">
        <v>0</v>
      </c>
      <c r="K80" s="242">
        <f>7.398/(-2.2)</f>
        <v>-3.3627272727272723</v>
      </c>
      <c r="M80" s="663" t="s">
        <v>580</v>
      </c>
      <c r="N80" s="363"/>
      <c r="O80" s="471">
        <v>-2.0814256414068542</v>
      </c>
      <c r="P80" s="259">
        <v>0</v>
      </c>
      <c r="Q80" s="471">
        <v>-4.3402610438890203</v>
      </c>
      <c r="R80" s="259">
        <v>0</v>
      </c>
      <c r="T80" s="242">
        <f t="shared" si="1"/>
        <v>30</v>
      </c>
    </row>
    <row r="81" spans="1:20" ht="9.9499999999999993" customHeight="1" x14ac:dyDescent="0.2">
      <c r="A81" s="352" t="s">
        <v>361</v>
      </c>
      <c r="B81" s="363"/>
      <c r="C81" s="471">
        <f>+C79+C80</f>
        <v>7.073785863200329</v>
      </c>
      <c r="D81" s="259">
        <f>+D79+D80</f>
        <v>-0.34352308321311675</v>
      </c>
      <c r="E81" s="471">
        <v>-0.29355873844589908</v>
      </c>
      <c r="F81" s="259">
        <v>2.7554007322683298</v>
      </c>
      <c r="M81" s="663" t="s">
        <v>581</v>
      </c>
      <c r="N81" s="363"/>
      <c r="O81" s="471">
        <v>-2.503448205953001</v>
      </c>
      <c r="P81" s="259">
        <v>-0.22804450736774962</v>
      </c>
      <c r="Q81" s="471">
        <v>-0.29355873844589908</v>
      </c>
      <c r="R81" s="259">
        <v>2.7554007322683298</v>
      </c>
      <c r="T81" s="242">
        <f t="shared" si="1"/>
        <v>31</v>
      </c>
    </row>
    <row r="82" spans="1:20" ht="3" customHeight="1" x14ac:dyDescent="0.2">
      <c r="A82" s="365"/>
      <c r="B82" s="242"/>
      <c r="C82" s="471"/>
      <c r="E82" s="471"/>
      <c r="M82" s="365"/>
      <c r="O82" s="471"/>
      <c r="P82" s="259"/>
      <c r="Q82" s="471"/>
      <c r="R82" s="259"/>
      <c r="T82" s="242">
        <f t="shared" si="1"/>
        <v>32</v>
      </c>
    </row>
    <row r="83" spans="1:20" ht="9.9499999999999993" customHeight="1" x14ac:dyDescent="0.2">
      <c r="A83" s="372" t="s">
        <v>368</v>
      </c>
      <c r="B83" s="242"/>
      <c r="C83" s="471"/>
      <c r="D83" s="259"/>
      <c r="E83" s="471"/>
      <c r="F83" s="259"/>
      <c r="L83" s="244" t="s">
        <v>582</v>
      </c>
      <c r="M83" s="708" t="str">
        <f t="shared" ref="M83:M90" si="4">M35</f>
        <v>Other comprehensive income</v>
      </c>
      <c r="O83" s="471"/>
      <c r="P83" s="259"/>
      <c r="Q83" s="471"/>
      <c r="R83" s="259"/>
      <c r="T83" s="242">
        <f t="shared" si="1"/>
        <v>33</v>
      </c>
    </row>
    <row r="84" spans="1:20" ht="9.9499999999999993" customHeight="1" x14ac:dyDescent="0.2">
      <c r="A84" s="311" t="s">
        <v>371</v>
      </c>
      <c r="B84" s="709"/>
      <c r="C84" s="684">
        <f>+C74</f>
        <v>53.837350000000022</v>
      </c>
      <c r="D84" s="520">
        <f>+D74</f>
        <v>-1.1416500000001264</v>
      </c>
      <c r="E84" s="684">
        <v>2.4280249449549434</v>
      </c>
      <c r="F84" s="520">
        <v>26.782659005595001</v>
      </c>
      <c r="L84" s="710">
        <v>7398775</v>
      </c>
      <c r="M84" s="661" t="str">
        <f t="shared" si="4"/>
        <v>Net income for the period</v>
      </c>
      <c r="N84" s="709"/>
      <c r="O84" s="684">
        <v>-17.722449999999913</v>
      </c>
      <c r="P84" s="520">
        <v>-1.6872499999998216</v>
      </c>
      <c r="Q84" s="684">
        <v>2.4280249449549434</v>
      </c>
      <c r="R84" s="520">
        <v>26.782659005595001</v>
      </c>
      <c r="T84" s="242">
        <f t="shared" si="1"/>
        <v>34</v>
      </c>
    </row>
    <row r="85" spans="1:20" ht="9.9499999999999993" customHeight="1" x14ac:dyDescent="0.2">
      <c r="A85" s="711" t="s">
        <v>375</v>
      </c>
      <c r="B85" s="712"/>
      <c r="C85" s="686">
        <f>+C37+J85</f>
        <v>-2.4999999999999996</v>
      </c>
      <c r="D85" s="520">
        <f>+D37+K85</f>
        <v>-7.9</v>
      </c>
      <c r="E85" s="686">
        <v>6.6</v>
      </c>
      <c r="F85" s="520">
        <v>3.3</v>
      </c>
      <c r="M85" s="713" t="str">
        <f t="shared" si="4"/>
        <v>Hedging reserve</v>
      </c>
      <c r="N85" s="712"/>
      <c r="O85" s="686">
        <v>1.2999999999999998</v>
      </c>
      <c r="P85" s="520">
        <v>-4.2</v>
      </c>
      <c r="Q85" s="686">
        <v>6.6</v>
      </c>
      <c r="R85" s="520">
        <v>3.3</v>
      </c>
      <c r="T85" s="242">
        <f t="shared" si="1"/>
        <v>35</v>
      </c>
    </row>
    <row r="86" spans="1:20" ht="9.9499999999999993" customHeight="1" x14ac:dyDescent="0.2">
      <c r="A86" s="711" t="s">
        <v>378</v>
      </c>
      <c r="B86" s="712"/>
      <c r="C86" s="686">
        <f>+C38+J826</f>
        <v>0.1</v>
      </c>
      <c r="D86" s="520">
        <f>+D38+K826</f>
        <v>9.9999999999999978E-2</v>
      </c>
      <c r="E86" s="686">
        <v>-0.5</v>
      </c>
      <c r="F86" s="520">
        <v>0.2</v>
      </c>
      <c r="M86" s="713" t="str">
        <f t="shared" si="4"/>
        <v>Translation differences</v>
      </c>
      <c r="N86" s="712"/>
      <c r="O86" s="686">
        <v>-0.4</v>
      </c>
      <c r="P86" s="520">
        <v>0.2</v>
      </c>
      <c r="Q86" s="686">
        <v>-0.5</v>
      </c>
      <c r="R86" s="520">
        <v>0.2</v>
      </c>
      <c r="T86" s="242">
        <f t="shared" si="1"/>
        <v>36</v>
      </c>
    </row>
    <row r="87" spans="1:20" ht="9.9499999999999993" customHeight="1" x14ac:dyDescent="0.2">
      <c r="A87" s="711" t="s">
        <v>381</v>
      </c>
      <c r="B87" s="712"/>
      <c r="C87" s="686">
        <f>+C39+J87</f>
        <v>0.60000000000000009</v>
      </c>
      <c r="D87" s="520">
        <f>+D39+K87</f>
        <v>1.6</v>
      </c>
      <c r="E87" s="686">
        <v>-1.4</v>
      </c>
      <c r="F87" s="520">
        <v>-0.7</v>
      </c>
      <c r="M87" s="713" t="str">
        <f t="shared" si="4"/>
        <v xml:space="preserve">Deferred tax on the above items </v>
      </c>
      <c r="N87" s="712"/>
      <c r="O87" s="686">
        <v>-0.29999999999999982</v>
      </c>
      <c r="P87" s="520">
        <v>0.8</v>
      </c>
      <c r="Q87" s="686">
        <v>-1.4</v>
      </c>
      <c r="R87" s="520">
        <v>-0.7</v>
      </c>
      <c r="T87" s="242">
        <f t="shared" si="1"/>
        <v>37</v>
      </c>
    </row>
    <row r="88" spans="1:20" ht="9.9499999999999993" customHeight="1" x14ac:dyDescent="0.2">
      <c r="A88" s="378" t="s">
        <v>385</v>
      </c>
      <c r="B88" s="714"/>
      <c r="C88" s="681">
        <f>SUM(C85:C87)</f>
        <v>-1.7999999999999994</v>
      </c>
      <c r="D88" s="682">
        <f>SUM(D85:D87)</f>
        <v>-6.2000000000000011</v>
      </c>
      <c r="E88" s="681">
        <v>4.6999999999999993</v>
      </c>
      <c r="F88" s="682">
        <v>2.8</v>
      </c>
      <c r="M88" s="715" t="str">
        <f t="shared" si="4"/>
        <v>Total items that will subsequently be reclassified to net income:</v>
      </c>
      <c r="N88" s="714"/>
      <c r="O88" s="681">
        <v>0.6</v>
      </c>
      <c r="P88" s="682">
        <v>-3.2</v>
      </c>
      <c r="Q88" s="681">
        <v>4.6999999999999993</v>
      </c>
      <c r="R88" s="682">
        <v>2.8</v>
      </c>
      <c r="T88" s="242">
        <f t="shared" si="1"/>
        <v>38</v>
      </c>
    </row>
    <row r="89" spans="1:20" ht="9.9499999999999993" customHeight="1" x14ac:dyDescent="0.2">
      <c r="A89" s="375" t="s">
        <v>389</v>
      </c>
      <c r="B89" s="712"/>
      <c r="C89" s="684">
        <f>+C41+J89</f>
        <v>0</v>
      </c>
      <c r="D89" s="520">
        <f>+D41+K89</f>
        <v>-0.1</v>
      </c>
      <c r="E89" s="684">
        <v>-0.1</v>
      </c>
      <c r="F89" s="520">
        <v>-0.2</v>
      </c>
      <c r="M89" s="716" t="str">
        <f t="shared" si="4"/>
        <v>Revaluation of defined benefit pension obligation</v>
      </c>
      <c r="N89" s="712"/>
      <c r="O89" s="684">
        <v>0</v>
      </c>
      <c r="P89" s="520">
        <v>-0.30000000000000004</v>
      </c>
      <c r="Q89" s="684">
        <v>-0.1</v>
      </c>
      <c r="R89" s="520">
        <v>-0.2</v>
      </c>
      <c r="T89" s="242">
        <f t="shared" si="1"/>
        <v>39</v>
      </c>
    </row>
    <row r="90" spans="1:20" ht="9.9499999999999993" customHeight="1" x14ac:dyDescent="0.2">
      <c r="A90" s="717" t="s">
        <v>393</v>
      </c>
      <c r="B90" s="712"/>
      <c r="C90" s="718">
        <f>SUM(C89)</f>
        <v>0</v>
      </c>
      <c r="D90" s="719">
        <f>SUM(D89)</f>
        <v>-0.1</v>
      </c>
      <c r="E90" s="718">
        <v>-0.1</v>
      </c>
      <c r="F90" s="719">
        <v>-0.2</v>
      </c>
      <c r="M90" s="720" t="str">
        <f t="shared" si="4"/>
        <v>Total items that will subsequently not be reclassified to net income:</v>
      </c>
      <c r="N90" s="712"/>
      <c r="O90" s="718">
        <v>0</v>
      </c>
      <c r="P90" s="719">
        <v>-0.30000000000000004</v>
      </c>
      <c r="Q90" s="718">
        <v>-0.1</v>
      </c>
      <c r="R90" s="719">
        <v>-0.2</v>
      </c>
      <c r="T90" s="242">
        <f t="shared" si="1"/>
        <v>40</v>
      </c>
    </row>
    <row r="91" spans="1:20" ht="9.9499999999999993" customHeight="1" thickBot="1" x14ac:dyDescent="0.25">
      <c r="A91" s="378" t="s">
        <v>396</v>
      </c>
      <c r="B91" s="721"/>
      <c r="C91" s="681">
        <f>SUM(C90,C88)</f>
        <v>-1.7999999999999994</v>
      </c>
      <c r="D91" s="722">
        <f>SUM(D90,D88)</f>
        <v>-6.3000000000000007</v>
      </c>
      <c r="E91" s="681">
        <v>4.5999999999999996</v>
      </c>
      <c r="F91" s="722">
        <v>2.6</v>
      </c>
      <c r="M91" s="715" t="str">
        <f>M44</f>
        <v>Comprehensive income for the period</v>
      </c>
      <c r="N91" s="721"/>
      <c r="O91" s="681">
        <v>0.6</v>
      </c>
      <c r="P91" s="722">
        <v>-3.5</v>
      </c>
      <c r="Q91" s="681">
        <v>4.5999999999999996</v>
      </c>
      <c r="R91" s="722">
        <v>2.6</v>
      </c>
      <c r="T91" s="242">
        <f t="shared" si="1"/>
        <v>41</v>
      </c>
    </row>
    <row r="92" spans="1:20" ht="9.9499999999999993" customHeight="1" x14ac:dyDescent="0.2">
      <c r="A92" s="333" t="s">
        <v>398</v>
      </c>
      <c r="B92" s="723"/>
      <c r="C92" s="697">
        <f>SUM(C91,C84)</f>
        <v>52.037350000000025</v>
      </c>
      <c r="D92" s="257">
        <f>SUM(D91,D84)</f>
        <v>-7.4416500000001271</v>
      </c>
      <c r="E92" s="697">
        <v>7.028024944954943</v>
      </c>
      <c r="F92" s="257">
        <v>29.382659005595901</v>
      </c>
      <c r="M92" s="665" t="s">
        <v>398</v>
      </c>
      <c r="N92" s="723"/>
      <c r="O92" s="697">
        <v>-17.122449999999912</v>
      </c>
      <c r="P92" s="257">
        <v>-5.1872499999998212</v>
      </c>
      <c r="Q92" s="697">
        <v>7.028024944954943</v>
      </c>
      <c r="R92" s="257">
        <v>29.382659005595901</v>
      </c>
      <c r="T92" s="242">
        <f t="shared" si="1"/>
        <v>42</v>
      </c>
    </row>
    <row r="93" spans="1:20" ht="9.9499999999999993" customHeight="1" x14ac:dyDescent="0.2">
      <c r="A93" s="352" t="s">
        <v>402</v>
      </c>
      <c r="B93" s="242"/>
      <c r="C93" s="471"/>
      <c r="E93" s="471"/>
      <c r="M93" s="663" t="str">
        <f>M45</f>
        <v>of which total comprehensive income for the period attributable to:</v>
      </c>
      <c r="O93" s="471"/>
      <c r="P93" s="259"/>
      <c r="Q93" s="471"/>
      <c r="R93" s="259"/>
      <c r="T93" s="242">
        <f t="shared" si="1"/>
        <v>43</v>
      </c>
    </row>
    <row r="94" spans="1:20" ht="9.9499999999999993" customHeight="1" x14ac:dyDescent="0.2">
      <c r="A94" s="375" t="s">
        <v>340</v>
      </c>
      <c r="B94" s="690"/>
      <c r="C94" s="684">
        <f>+C92-C95</f>
        <v>50.537350000000025</v>
      </c>
      <c r="D94" s="520">
        <f>+D92-D95</f>
        <v>-8.8416500000001275</v>
      </c>
      <c r="E94" s="684">
        <v>2.4280249449549434</v>
      </c>
      <c r="F94" s="520">
        <v>22.982659005595899</v>
      </c>
      <c r="M94" s="716" t="str">
        <f>M46</f>
        <v>Owners of the parent</v>
      </c>
      <c r="N94" s="690"/>
      <c r="O94" s="684">
        <v>-17.922449999999913</v>
      </c>
      <c r="P94" s="520">
        <v>-5.1872499999998212</v>
      </c>
      <c r="Q94" s="684">
        <v>2.4280249449549434</v>
      </c>
      <c r="R94" s="520">
        <v>22.982659005595899</v>
      </c>
      <c r="T94" s="242">
        <f t="shared" si="1"/>
        <v>44</v>
      </c>
    </row>
    <row r="95" spans="1:20" ht="9.9499999999999993" customHeight="1" x14ac:dyDescent="0.2">
      <c r="A95" s="365" t="s">
        <v>346</v>
      </c>
      <c r="B95" s="242"/>
      <c r="C95" s="471">
        <f>+C77</f>
        <v>1.5</v>
      </c>
      <c r="D95" s="259">
        <f>+D77</f>
        <v>1.4</v>
      </c>
      <c r="E95" s="471">
        <v>4.26</v>
      </c>
      <c r="F95" s="259">
        <v>6.4</v>
      </c>
      <c r="M95" s="707" t="str">
        <f>M144</f>
        <v>Non-controlling interests</v>
      </c>
      <c r="O95" s="471">
        <v>0.79999999999999982</v>
      </c>
      <c r="P95" s="259">
        <v>0</v>
      </c>
      <c r="Q95" s="471">
        <v>4.26</v>
      </c>
      <c r="R95" s="259">
        <v>6.4</v>
      </c>
      <c r="T95" s="242">
        <f t="shared" si="1"/>
        <v>45</v>
      </c>
    </row>
    <row r="96" spans="1:20" ht="9.9499999999999993" customHeight="1" x14ac:dyDescent="0.2">
      <c r="A96" s="352" t="s">
        <v>403</v>
      </c>
      <c r="B96" s="363"/>
      <c r="C96" s="471">
        <f>C94/L84*1000000</f>
        <v>6.8305023466722572</v>
      </c>
      <c r="D96" s="259">
        <f>D94/L84*1000000</f>
        <v>-1.1950153910613754</v>
      </c>
      <c r="E96" s="471">
        <v>0.32812658037925102</v>
      </c>
      <c r="F96" s="259">
        <v>3.1026810252655701</v>
      </c>
      <c r="M96" s="724" t="str">
        <f>M145</f>
        <v>earnings per share (comprehensive income), SEK</v>
      </c>
      <c r="N96" s="363"/>
      <c r="O96" s="471">
        <v>-2.4223537004436428</v>
      </c>
      <c r="P96" s="259">
        <v>-0.70109578950567109</v>
      </c>
      <c r="Q96" s="471">
        <v>0.32812658037925102</v>
      </c>
      <c r="R96" s="259">
        <v>3.1026810252655701</v>
      </c>
      <c r="T96" s="242">
        <f t="shared" si="1"/>
        <v>46</v>
      </c>
    </row>
    <row r="97" spans="1:24" ht="9.9499999999999993" customHeight="1" x14ac:dyDescent="0.2">
      <c r="A97" s="363" t="s">
        <v>405</v>
      </c>
      <c r="M97" s="725"/>
      <c r="N97" s="243"/>
    </row>
    <row r="98" spans="1:24" x14ac:dyDescent="0.2">
      <c r="C98" s="443">
        <f>C69/C68</f>
        <v>-0.20599999999999999</v>
      </c>
      <c r="D98" s="443">
        <f t="shared" ref="D98:F98" si="5">D69/D68</f>
        <v>-0.20599999999999999</v>
      </c>
      <c r="E98" s="443">
        <f t="shared" si="5"/>
        <v>-0.22219336534149586</v>
      </c>
      <c r="F98" s="443">
        <f t="shared" si="5"/>
        <v>-0.24706215378577684</v>
      </c>
    </row>
    <row r="101" spans="1:24" x14ac:dyDescent="0.2">
      <c r="M101" s="262" t="s">
        <v>583</v>
      </c>
    </row>
    <row r="102" spans="1:24" x14ac:dyDescent="0.2">
      <c r="A102" s="260"/>
      <c r="B102" s="266"/>
      <c r="C102" s="261" t="s">
        <v>213</v>
      </c>
      <c r="D102" s="261" t="s">
        <v>214</v>
      </c>
      <c r="E102" s="261" t="s">
        <v>215</v>
      </c>
      <c r="F102" s="260" t="s">
        <v>197</v>
      </c>
      <c r="M102" s="260"/>
      <c r="N102" s="266"/>
      <c r="O102" s="261" t="s">
        <v>26</v>
      </c>
      <c r="P102" s="261" t="s">
        <v>454</v>
      </c>
      <c r="Q102" s="261" t="s">
        <v>584</v>
      </c>
      <c r="W102" s="261" t="s">
        <v>213</v>
      </c>
    </row>
    <row r="103" spans="1:24" x14ac:dyDescent="0.2">
      <c r="A103" s="273" t="s">
        <v>221</v>
      </c>
      <c r="B103" s="274"/>
      <c r="C103" s="275" t="s">
        <v>585</v>
      </c>
      <c r="D103" s="275"/>
      <c r="E103" s="275" t="s">
        <v>585</v>
      </c>
      <c r="M103" s="273" t="s">
        <v>218</v>
      </c>
      <c r="N103" s="274"/>
      <c r="O103" s="275">
        <v>2025</v>
      </c>
      <c r="P103" s="275"/>
      <c r="Q103" s="275">
        <v>2025</v>
      </c>
      <c r="W103" s="275" t="s">
        <v>585</v>
      </c>
    </row>
    <row r="104" spans="1:24" x14ac:dyDescent="0.2">
      <c r="A104" s="286" t="s">
        <v>224</v>
      </c>
      <c r="B104" s="726"/>
      <c r="C104" s="287">
        <v>2329.8000000000002</v>
      </c>
      <c r="D104" s="672"/>
      <c r="E104" s="287">
        <v>2329.8000000000002</v>
      </c>
      <c r="M104" s="727" t="str">
        <f>M4</f>
        <v>Net turnover</v>
      </c>
      <c r="N104" s="728"/>
      <c r="O104" s="673">
        <v>2329.8000000000002</v>
      </c>
      <c r="P104" s="672" t="s">
        <v>17</v>
      </c>
      <c r="Q104" s="673">
        <v>2329.8000000000002</v>
      </c>
      <c r="W104" s="287">
        <v>2329.8000000000002</v>
      </c>
      <c r="X104" s="729">
        <f>W104-C104</f>
        <v>0</v>
      </c>
    </row>
    <row r="105" spans="1:24" x14ac:dyDescent="0.2">
      <c r="A105" s="298" t="s">
        <v>63</v>
      </c>
      <c r="B105" s="730"/>
      <c r="C105" s="299">
        <v>-1952.7</v>
      </c>
      <c r="D105" s="259"/>
      <c r="E105" s="299">
        <v>-1952.7</v>
      </c>
      <c r="M105" s="731" t="s">
        <v>230</v>
      </c>
      <c r="N105" s="732"/>
      <c r="O105" s="677">
        <v>-1952.7</v>
      </c>
      <c r="P105" s="259"/>
      <c r="Q105" s="677">
        <v>-1952.7</v>
      </c>
      <c r="W105" s="299">
        <v>-1952.7</v>
      </c>
      <c r="X105" s="729">
        <f t="shared" ref="X105:X145" si="6">W105-C105</f>
        <v>0</v>
      </c>
    </row>
    <row r="106" spans="1:24" x14ac:dyDescent="0.2">
      <c r="A106" s="307" t="s">
        <v>232</v>
      </c>
      <c r="B106" s="733"/>
      <c r="C106" s="308">
        <v>377.10000000000014</v>
      </c>
      <c r="D106" s="680"/>
      <c r="E106" s="308">
        <v>377.10000000000014</v>
      </c>
      <c r="M106" s="734" t="s">
        <v>233</v>
      </c>
      <c r="N106" s="735"/>
      <c r="O106" s="681">
        <v>377.10000000000014</v>
      </c>
      <c r="P106" s="680"/>
      <c r="Q106" s="681">
        <v>377.10000000000014</v>
      </c>
      <c r="W106" s="736">
        <f>SUM(W104:W105)</f>
        <v>377.10000000000014</v>
      </c>
      <c r="X106" s="729">
        <f t="shared" si="6"/>
        <v>0</v>
      </c>
    </row>
    <row r="107" spans="1:24" x14ac:dyDescent="0.2">
      <c r="A107" s="311" t="s">
        <v>235</v>
      </c>
      <c r="B107" s="737"/>
      <c r="C107" s="312">
        <v>1.1000000000000001</v>
      </c>
      <c r="D107" s="519"/>
      <c r="E107" s="312">
        <v>1.1000000000000001</v>
      </c>
      <c r="M107" s="738" t="str">
        <f>M8</f>
        <v xml:space="preserve">Other operating revenues </v>
      </c>
      <c r="N107" s="517"/>
      <c r="O107" s="684">
        <v>1.1000000000000001</v>
      </c>
      <c r="P107" s="519" t="s">
        <v>17</v>
      </c>
      <c r="Q107" s="684">
        <v>1.1000000000000001</v>
      </c>
      <c r="W107" s="312">
        <v>1.1000000000000001</v>
      </c>
      <c r="X107" s="729">
        <f t="shared" si="6"/>
        <v>0</v>
      </c>
    </row>
    <row r="108" spans="1:24" x14ac:dyDescent="0.2">
      <c r="A108" s="298" t="s">
        <v>74</v>
      </c>
      <c r="B108" s="730"/>
      <c r="C108" s="313">
        <v>-140.80000000000001</v>
      </c>
      <c r="D108" s="685"/>
      <c r="E108" s="313">
        <v>-140.80000000000001</v>
      </c>
      <c r="M108" s="731" t="s">
        <v>245</v>
      </c>
      <c r="N108" s="732"/>
      <c r="O108" s="686">
        <v>-140.80000000000001</v>
      </c>
      <c r="P108" s="685" t="s">
        <v>17</v>
      </c>
      <c r="Q108" s="686">
        <v>-140.80000000000001</v>
      </c>
      <c r="W108" s="313">
        <v>-140.80000000000001</v>
      </c>
      <c r="X108" s="729">
        <f t="shared" si="6"/>
        <v>0</v>
      </c>
    </row>
    <row r="109" spans="1:24" x14ac:dyDescent="0.2">
      <c r="A109" s="318" t="s">
        <v>251</v>
      </c>
      <c r="B109" s="733"/>
      <c r="C109" s="319">
        <v>-0.1</v>
      </c>
      <c r="D109" s="687"/>
      <c r="E109" s="319">
        <v>-0.1</v>
      </c>
      <c r="M109" s="739" t="str">
        <f>M11</f>
        <v>Other operating expenses</v>
      </c>
      <c r="N109" s="735"/>
      <c r="O109" s="688">
        <v>-0.1</v>
      </c>
      <c r="P109" s="687" t="s">
        <v>17</v>
      </c>
      <c r="Q109" s="688">
        <v>-0.1</v>
      </c>
      <c r="W109" s="319">
        <v>-0.1</v>
      </c>
      <c r="X109" s="729">
        <f t="shared" si="6"/>
        <v>0</v>
      </c>
    </row>
    <row r="110" spans="1:24" x14ac:dyDescent="0.2">
      <c r="A110" s="307" t="s">
        <v>229</v>
      </c>
      <c r="B110" s="733"/>
      <c r="C110" s="308">
        <v>237.30000000000015</v>
      </c>
      <c r="D110" s="680"/>
      <c r="E110" s="308">
        <v>237.30000000000015</v>
      </c>
      <c r="M110" s="734" t="s">
        <v>229</v>
      </c>
      <c r="N110" s="735"/>
      <c r="O110" s="681">
        <v>237.30000000000015</v>
      </c>
      <c r="P110" s="680"/>
      <c r="Q110" s="681">
        <v>237.30000000000015</v>
      </c>
      <c r="W110" s="736">
        <f>SUM(W106:W109)</f>
        <v>237.30000000000015</v>
      </c>
      <c r="X110" s="729">
        <f t="shared" si="6"/>
        <v>0</v>
      </c>
    </row>
    <row r="111" spans="1:24" x14ac:dyDescent="0.2">
      <c r="A111" s="311" t="s">
        <v>267</v>
      </c>
      <c r="B111" s="737"/>
      <c r="C111" s="740">
        <v>-88.7</v>
      </c>
      <c r="D111" s="519">
        <v>-97.2889298871265</v>
      </c>
      <c r="E111" s="312">
        <v>-185.98892988712601</v>
      </c>
      <c r="M111" s="738" t="s">
        <v>586</v>
      </c>
      <c r="N111" s="517"/>
      <c r="O111" s="684">
        <v>-88.7</v>
      </c>
      <c r="P111" s="519">
        <v>-97.2889298871265</v>
      </c>
      <c r="Q111" s="684">
        <v>-185.98892988712601</v>
      </c>
      <c r="W111" s="741">
        <f>SUM(W112:W114)</f>
        <v>-108.7</v>
      </c>
      <c r="X111" s="729">
        <f t="shared" si="6"/>
        <v>-20</v>
      </c>
    </row>
    <row r="112" spans="1:24" x14ac:dyDescent="0.2">
      <c r="A112" s="324" t="s">
        <v>269</v>
      </c>
      <c r="C112" s="325">
        <v>0</v>
      </c>
      <c r="D112" s="441">
        <v>-3.85274425712652</v>
      </c>
      <c r="E112" s="325">
        <v>-3.85274425712652</v>
      </c>
      <c r="M112" s="742" t="s">
        <v>270</v>
      </c>
      <c r="N112" s="478"/>
      <c r="O112" s="691">
        <v>0</v>
      </c>
      <c r="P112" s="441">
        <v>-3.85274425712652</v>
      </c>
      <c r="Q112" s="691">
        <v>-3.85274425712652</v>
      </c>
      <c r="W112" s="325">
        <v>0</v>
      </c>
      <c r="X112" s="729">
        <f t="shared" si="6"/>
        <v>0</v>
      </c>
    </row>
    <row r="113" spans="1:24" x14ac:dyDescent="0.2">
      <c r="A113" s="324" t="s">
        <v>276</v>
      </c>
      <c r="C113" s="325">
        <v>-26.7</v>
      </c>
      <c r="D113" s="441">
        <v>-21.260108711000001</v>
      </c>
      <c r="E113" s="325">
        <v>-28.301087109999997</v>
      </c>
      <c r="M113" s="742" t="s">
        <v>277</v>
      </c>
      <c r="N113" s="478"/>
      <c r="O113" s="691">
        <v>-26.7</v>
      </c>
      <c r="P113" s="441">
        <v>-21.260108711000001</v>
      </c>
      <c r="Q113" s="691">
        <v>-28.301087109999997</v>
      </c>
      <c r="W113" s="325">
        <v>-26.7</v>
      </c>
      <c r="X113" s="729">
        <f t="shared" si="6"/>
        <v>0</v>
      </c>
    </row>
    <row r="114" spans="1:24" ht="12" thickBot="1" x14ac:dyDescent="0.25">
      <c r="A114" s="326" t="s">
        <v>282</v>
      </c>
      <c r="C114" s="327">
        <v>-82</v>
      </c>
      <c r="D114" s="693">
        <v>-71.835098520000017</v>
      </c>
      <c r="E114" s="327">
        <v>-153.83509852000003</v>
      </c>
      <c r="M114" s="743" t="s">
        <v>283</v>
      </c>
      <c r="N114" s="478"/>
      <c r="O114" s="694">
        <v>-82</v>
      </c>
      <c r="P114" s="693">
        <v>-71.835098520000017</v>
      </c>
      <c r="Q114" s="694">
        <v>-153.83509852000003</v>
      </c>
      <c r="W114" s="327">
        <v>-82</v>
      </c>
      <c r="X114" s="729">
        <f t="shared" si="6"/>
        <v>0</v>
      </c>
    </row>
    <row r="115" spans="1:24" x14ac:dyDescent="0.2">
      <c r="A115" s="333" t="s">
        <v>294</v>
      </c>
      <c r="B115" s="744"/>
      <c r="C115" s="335">
        <v>148.26</v>
      </c>
      <c r="D115" s="698">
        <v>-97.2889298871265</v>
      </c>
      <c r="E115" s="335">
        <v>51.311070112834841</v>
      </c>
      <c r="M115" s="745" t="str">
        <f>M12</f>
        <v>Operating profit/loss</v>
      </c>
      <c r="N115" s="746"/>
      <c r="O115" s="697">
        <v>148.26</v>
      </c>
      <c r="P115" s="698">
        <v>-97.2889298871265</v>
      </c>
      <c r="Q115" s="697">
        <v>51.311070112834841</v>
      </c>
      <c r="W115" s="747">
        <f>W110+W112+W113+W114</f>
        <v>128.60000000000016</v>
      </c>
      <c r="X115" s="729">
        <f t="shared" si="6"/>
        <v>-19.659999999999826</v>
      </c>
    </row>
    <row r="116" spans="1:24" x14ac:dyDescent="0.2">
      <c r="A116" s="337" t="s">
        <v>300</v>
      </c>
      <c r="B116" s="338"/>
      <c r="C116" s="339">
        <v>2.2000000000000002</v>
      </c>
      <c r="D116" s="337"/>
      <c r="E116" s="339">
        <v>2.2000000000000002</v>
      </c>
      <c r="M116" s="748" t="str">
        <f>M14</f>
        <v>Financial income</v>
      </c>
      <c r="N116" s="473"/>
      <c r="O116" s="699">
        <v>2.2000000000000002</v>
      </c>
      <c r="P116" s="700"/>
      <c r="Q116" s="699">
        <v>2.2000000000000002</v>
      </c>
      <c r="W116" s="339">
        <v>2.2000000000000002</v>
      </c>
      <c r="X116" s="729">
        <f t="shared" si="6"/>
        <v>0</v>
      </c>
    </row>
    <row r="117" spans="1:24" x14ac:dyDescent="0.2">
      <c r="A117" s="337" t="s">
        <v>303</v>
      </c>
      <c r="B117" s="648"/>
      <c r="C117" s="339">
        <v>-9.1</v>
      </c>
      <c r="D117" s="337"/>
      <c r="E117" s="339">
        <v>-9.1</v>
      </c>
      <c r="M117" s="748" t="str">
        <f>M15</f>
        <v>Financial expenses</v>
      </c>
      <c r="N117" s="749"/>
      <c r="O117" s="699">
        <v>-9.1</v>
      </c>
      <c r="P117" s="700"/>
      <c r="Q117" s="699">
        <v>-9.1</v>
      </c>
      <c r="W117" s="339">
        <v>-9.1</v>
      </c>
      <c r="X117" s="729">
        <f t="shared" si="6"/>
        <v>0</v>
      </c>
    </row>
    <row r="118" spans="1:24" x14ac:dyDescent="0.2">
      <c r="A118" s="344" t="s">
        <v>307</v>
      </c>
      <c r="B118" s="345"/>
      <c r="C118" s="346">
        <v>-6.9</v>
      </c>
      <c r="D118" s="344"/>
      <c r="E118" s="346">
        <v>-6.9</v>
      </c>
      <c r="M118" s="257" t="str">
        <f>M16</f>
        <v>Net financial income/expense</v>
      </c>
      <c r="N118" s="258"/>
      <c r="O118" s="703">
        <v>-6.9</v>
      </c>
      <c r="P118" s="257"/>
      <c r="Q118" s="703">
        <v>-6.9</v>
      </c>
      <c r="W118" s="750">
        <f>SUM(W116:W117)</f>
        <v>-6.8999999999999995</v>
      </c>
      <c r="X118" s="729">
        <f t="shared" si="6"/>
        <v>0</v>
      </c>
    </row>
    <row r="119" spans="1:24" x14ac:dyDescent="0.2">
      <c r="A119" s="344" t="s">
        <v>312</v>
      </c>
      <c r="B119" s="345"/>
      <c r="C119" s="346">
        <v>141.70000000000013</v>
      </c>
      <c r="D119" s="344">
        <v>-97.2889298871265</v>
      </c>
      <c r="E119" s="346">
        <v>44.411070112834842</v>
      </c>
      <c r="M119" s="262" t="str">
        <f>M18</f>
        <v>Income after financial items</v>
      </c>
      <c r="N119" s="258"/>
      <c r="O119" s="703">
        <v>141.70000000000013</v>
      </c>
      <c r="P119" s="257">
        <v>-97.2889298871265</v>
      </c>
      <c r="Q119" s="703">
        <v>44.411070112834842</v>
      </c>
      <c r="W119" s="750">
        <f>W118+W115</f>
        <v>121.70000000000016</v>
      </c>
      <c r="X119" s="729">
        <f t="shared" si="6"/>
        <v>-19.999999999999972</v>
      </c>
    </row>
    <row r="120" spans="1:24" ht="12" thickBot="1" x14ac:dyDescent="0.25">
      <c r="A120" s="349" t="s">
        <v>317</v>
      </c>
      <c r="B120" s="350"/>
      <c r="C120" s="351">
        <v>-31.4848</v>
      </c>
      <c r="D120" s="653">
        <v>21.261269548321199</v>
      </c>
      <c r="E120" s="655">
        <v>-9.8267845126787901</v>
      </c>
      <c r="M120" s="751" t="str">
        <f t="shared" ref="M120:M128" si="7">M20</f>
        <v>Income tax from continuing operations</v>
      </c>
      <c r="N120" s="752"/>
      <c r="O120" s="704">
        <v>-31.4848</v>
      </c>
      <c r="P120" s="722">
        <v>21.261269548321199</v>
      </c>
      <c r="Q120" s="753">
        <v>-9.8267845126787901</v>
      </c>
      <c r="W120" s="351">
        <v>-31.4848</v>
      </c>
      <c r="X120" s="729">
        <f t="shared" si="6"/>
        <v>0</v>
      </c>
    </row>
    <row r="121" spans="1:24" x14ac:dyDescent="0.2">
      <c r="A121" s="344" t="s">
        <v>320</v>
      </c>
      <c r="B121" s="345"/>
      <c r="C121" s="346">
        <v>110.21520000000012</v>
      </c>
      <c r="D121" s="344">
        <v>-75.267197505504498</v>
      </c>
      <c r="E121" s="346">
        <v>34.543224944954943</v>
      </c>
      <c r="M121" s="262" t="str">
        <f t="shared" si="7"/>
        <v>Profit for the period from continuing operations</v>
      </c>
      <c r="N121" s="258"/>
      <c r="O121" s="703">
        <v>110.21520000000012</v>
      </c>
      <c r="P121" s="257">
        <v>-75.267197505504498</v>
      </c>
      <c r="Q121" s="703">
        <v>34.543224944954943</v>
      </c>
      <c r="W121" s="750">
        <f>W119+W120</f>
        <v>90.215200000000152</v>
      </c>
      <c r="X121" s="729">
        <f t="shared" si="6"/>
        <v>-19.999999999999972</v>
      </c>
    </row>
    <row r="122" spans="1:24" x14ac:dyDescent="0.2">
      <c r="A122" s="311" t="s">
        <v>324</v>
      </c>
      <c r="B122" s="311"/>
      <c r="C122" s="339">
        <v>-40</v>
      </c>
      <c r="D122" s="311"/>
      <c r="E122" s="312">
        <v>-40</v>
      </c>
      <c r="M122" s="738" t="str">
        <f t="shared" si="7"/>
        <v>Loss for the period from discontinued operations</v>
      </c>
      <c r="N122" s="520"/>
      <c r="O122" s="684">
        <v>-40</v>
      </c>
      <c r="P122" s="520"/>
      <c r="Q122" s="684">
        <v>-40</v>
      </c>
      <c r="W122" s="312">
        <v>-40</v>
      </c>
      <c r="X122" s="729">
        <f t="shared" si="6"/>
        <v>0</v>
      </c>
    </row>
    <row r="123" spans="1:24" x14ac:dyDescent="0.2">
      <c r="A123" s="337" t="s">
        <v>67</v>
      </c>
      <c r="B123" s="337"/>
      <c r="C123" s="339">
        <v>7.8848000000000003</v>
      </c>
      <c r="D123" s="337"/>
      <c r="E123" s="339">
        <v>7.8848000000000003</v>
      </c>
      <c r="M123" s="748" t="str">
        <f t="shared" si="7"/>
        <v>Income tax from discontinued operations</v>
      </c>
      <c r="N123" s="700"/>
      <c r="O123" s="699">
        <v>7.8848000000000003</v>
      </c>
      <c r="P123" s="700"/>
      <c r="Q123" s="699">
        <v>7.8848000000000003</v>
      </c>
      <c r="W123" s="339">
        <v>7.8848000000000003</v>
      </c>
      <c r="X123" s="729">
        <f t="shared" si="6"/>
        <v>0</v>
      </c>
    </row>
    <row r="124" spans="1:24" ht="12" thickBot="1" x14ac:dyDescent="0.25">
      <c r="A124" s="344" t="s">
        <v>324</v>
      </c>
      <c r="B124" s="344"/>
      <c r="C124" s="754">
        <v>78.100000000000122</v>
      </c>
      <c r="D124" s="344"/>
      <c r="E124" s="346">
        <v>-32.115200000000002</v>
      </c>
      <c r="M124" s="262" t="str">
        <f t="shared" si="7"/>
        <v>Loss for the period from discontinued operations</v>
      </c>
      <c r="N124" s="257"/>
      <c r="O124" s="703">
        <v>78.100000000000122</v>
      </c>
      <c r="P124" s="257"/>
      <c r="Q124" s="703">
        <v>-32.115200000000002</v>
      </c>
      <c r="W124" s="750">
        <f>SUM(W122:W123)</f>
        <v>-32.115200000000002</v>
      </c>
      <c r="X124" s="729">
        <f t="shared" si="6"/>
        <v>-110.21520000000012</v>
      </c>
    </row>
    <row r="125" spans="1:24" x14ac:dyDescent="0.2">
      <c r="A125" s="333" t="s">
        <v>335</v>
      </c>
      <c r="B125" s="334"/>
      <c r="C125" s="335">
        <v>78.100000000000122</v>
      </c>
      <c r="D125" s="333">
        <v>-75.267197505504498</v>
      </c>
      <c r="E125" s="335">
        <v>2.4280249449549434</v>
      </c>
      <c r="M125" s="745" t="str">
        <f t="shared" si="7"/>
        <v>Net income for the period</v>
      </c>
      <c r="N125" s="755"/>
      <c r="O125" s="697">
        <v>78.100000000000122</v>
      </c>
      <c r="P125" s="698">
        <v>-75.267197505504498</v>
      </c>
      <c r="Q125" s="697">
        <v>2.4280249449549434</v>
      </c>
      <c r="W125" s="335">
        <f>SUM(W121,W124)</f>
        <v>58.100000000000151</v>
      </c>
      <c r="X125" s="729">
        <f t="shared" si="6"/>
        <v>-19.999999999999972</v>
      </c>
    </row>
    <row r="126" spans="1:24" x14ac:dyDescent="0.2">
      <c r="A126" s="352" t="s">
        <v>337</v>
      </c>
      <c r="C126" s="361"/>
      <c r="D126" s="259"/>
      <c r="E126" s="361"/>
      <c r="M126" s="272" t="str">
        <f t="shared" si="7"/>
        <v>of which attributable to:</v>
      </c>
      <c r="N126" s="478"/>
      <c r="O126" s="471"/>
      <c r="P126" s="259"/>
      <c r="Q126" s="471"/>
      <c r="W126" s="361"/>
      <c r="X126" s="729"/>
    </row>
    <row r="127" spans="1:24" x14ac:dyDescent="0.2">
      <c r="A127" s="362" t="s">
        <v>340</v>
      </c>
      <c r="B127" s="737"/>
      <c r="C127" s="312">
        <v>73.500000000000128</v>
      </c>
      <c r="D127" s="520">
        <v>-75.267197505504498</v>
      </c>
      <c r="E127" s="312">
        <v>-2.1719750550450199</v>
      </c>
      <c r="M127" s="756" t="str">
        <f t="shared" si="7"/>
        <v>Owners of the parent</v>
      </c>
      <c r="N127" s="517"/>
      <c r="O127" s="684">
        <v>73.500000000000128</v>
      </c>
      <c r="P127" s="520">
        <v>-75.267197505504498</v>
      </c>
      <c r="Q127" s="684">
        <v>-2.1719750550450199</v>
      </c>
      <c r="W127" s="312">
        <v>73.500000000000128</v>
      </c>
      <c r="X127" s="729">
        <f t="shared" si="6"/>
        <v>0</v>
      </c>
    </row>
    <row r="128" spans="1:24" x14ac:dyDescent="0.2">
      <c r="A128" s="365" t="s">
        <v>346</v>
      </c>
      <c r="C128" s="361">
        <v>4.26</v>
      </c>
      <c r="D128" s="259"/>
      <c r="E128" s="361">
        <v>4.26</v>
      </c>
      <c r="M128" s="757" t="str">
        <f t="shared" si="7"/>
        <v>Non-controlling interests</v>
      </c>
      <c r="N128" s="478"/>
      <c r="O128" s="471">
        <v>4.26</v>
      </c>
      <c r="P128" s="259"/>
      <c r="Q128" s="471">
        <v>4.26</v>
      </c>
      <c r="W128" s="361">
        <v>4.26</v>
      </c>
      <c r="X128" s="729">
        <f t="shared" si="6"/>
        <v>0</v>
      </c>
    </row>
    <row r="129" spans="1:24" x14ac:dyDescent="0.2">
      <c r="A129" s="352" t="s">
        <v>587</v>
      </c>
      <c r="C129" s="361">
        <v>14.2742687326378</v>
      </c>
      <c r="D129" s="259">
        <v>-10.2272635262633</v>
      </c>
      <c r="E129" s="361">
        <v>4.0470517004443227</v>
      </c>
      <c r="M129" s="272" t="str">
        <f>'Koncern Nyckeltal - EJ ANVÄNDA'!L64</f>
        <v>Earnings per share fom discontinued operations, SEK</v>
      </c>
      <c r="N129" s="478"/>
      <c r="O129" s="471">
        <v>14.2742687326378</v>
      </c>
      <c r="P129" s="259">
        <v>-10.2272635262633</v>
      </c>
      <c r="Q129" s="471">
        <v>4.0470517004443227</v>
      </c>
      <c r="W129" s="361">
        <v>14.2742687326378</v>
      </c>
      <c r="X129" s="729">
        <f t="shared" si="6"/>
        <v>0</v>
      </c>
    </row>
    <row r="130" spans="1:24" x14ac:dyDescent="0.2">
      <c r="A130" s="352" t="s">
        <v>588</v>
      </c>
      <c r="C130" s="361">
        <v>-4.3402610438890203</v>
      </c>
      <c r="D130" s="259"/>
      <c r="E130" s="361">
        <v>-4.3402610438890203</v>
      </c>
      <c r="M130" s="272" t="str">
        <f>'Koncern Nyckeltal - EJ ANVÄNDA'!L65</f>
        <v>Earnings per share, kr</v>
      </c>
      <c r="N130" s="478"/>
      <c r="O130" s="471">
        <v>-4.3402610438890203</v>
      </c>
      <c r="P130" s="259"/>
      <c r="Q130" s="471">
        <v>-4.3402610438890203</v>
      </c>
      <c r="W130" s="361">
        <v>-4.3402610438890203</v>
      </c>
      <c r="X130" s="729">
        <f t="shared" si="6"/>
        <v>0</v>
      </c>
    </row>
    <row r="131" spans="1:24" x14ac:dyDescent="0.2">
      <c r="A131" s="352" t="s">
        <v>589</v>
      </c>
      <c r="C131" s="361">
        <v>9.9340726924892593</v>
      </c>
      <c r="D131" s="259">
        <v>-10.2272635262633</v>
      </c>
      <c r="E131" s="361">
        <v>-0.29355873844589908</v>
      </c>
      <c r="M131" s="272" t="str">
        <f>'Koncern Nyckeltal - EJ ANVÄNDA'!L66</f>
        <v>Equity per share, SEK</v>
      </c>
      <c r="N131" s="478"/>
      <c r="O131" s="471">
        <v>9.9340726924892593</v>
      </c>
      <c r="P131" s="259">
        <v>-10.2272635262633</v>
      </c>
      <c r="Q131" s="471">
        <v>-0.29355873844589908</v>
      </c>
      <c r="W131" s="361">
        <v>9.9340726924892593</v>
      </c>
      <c r="X131" s="729">
        <f t="shared" si="6"/>
        <v>0</v>
      </c>
    </row>
    <row r="132" spans="1:24" ht="12" x14ac:dyDescent="0.2">
      <c r="A132" s="372" t="s">
        <v>368</v>
      </c>
      <c r="C132" s="361"/>
      <c r="D132" s="259"/>
      <c r="E132" s="361"/>
      <c r="M132" s="262" t="str">
        <f t="shared" ref="M132:M144" si="8">M35</f>
        <v>Other comprehensive income</v>
      </c>
      <c r="N132" s="478"/>
      <c r="O132" s="471"/>
      <c r="P132" s="259"/>
      <c r="Q132" s="471"/>
      <c r="W132" s="361"/>
      <c r="X132" s="729"/>
    </row>
    <row r="133" spans="1:24" x14ac:dyDescent="0.2">
      <c r="A133" s="311" t="s">
        <v>371</v>
      </c>
      <c r="B133" s="311"/>
      <c r="C133" s="312">
        <v>78.100000000000122</v>
      </c>
      <c r="D133" s="520">
        <v>-75.267197505504498</v>
      </c>
      <c r="E133" s="312">
        <v>2.4280249449549434</v>
      </c>
      <c r="M133" s="738" t="str">
        <f t="shared" si="8"/>
        <v>Net income for the period</v>
      </c>
      <c r="N133" s="520"/>
      <c r="O133" s="684">
        <v>78.100000000000122</v>
      </c>
      <c r="P133" s="520">
        <v>-75.267197505504498</v>
      </c>
      <c r="Q133" s="684">
        <v>2.4280249449549434</v>
      </c>
      <c r="W133" s="740">
        <v>78.100000000000122</v>
      </c>
      <c r="X133" s="729">
        <f t="shared" si="6"/>
        <v>0</v>
      </c>
    </row>
    <row r="134" spans="1:24" x14ac:dyDescent="0.2">
      <c r="A134" s="375" t="s">
        <v>375</v>
      </c>
      <c r="B134" s="375"/>
      <c r="C134" s="312">
        <v>26.26</v>
      </c>
      <c r="D134" s="520"/>
      <c r="E134" s="312">
        <v>26.26</v>
      </c>
      <c r="M134" s="758" t="str">
        <f t="shared" si="8"/>
        <v>Hedging reserve</v>
      </c>
      <c r="N134" s="759"/>
      <c r="O134" s="684">
        <v>26.26</v>
      </c>
      <c r="P134" s="520"/>
      <c r="Q134" s="684">
        <v>26.26</v>
      </c>
      <c r="W134" s="740">
        <v>26.26</v>
      </c>
      <c r="X134" s="729">
        <f t="shared" si="6"/>
        <v>0</v>
      </c>
    </row>
    <row r="135" spans="1:24" x14ac:dyDescent="0.2">
      <c r="A135" s="375" t="s">
        <v>378</v>
      </c>
      <c r="B135" s="375"/>
      <c r="C135" s="312">
        <v>-0.5</v>
      </c>
      <c r="D135" s="520"/>
      <c r="E135" s="312">
        <v>-0.5</v>
      </c>
      <c r="M135" s="758" t="str">
        <f t="shared" si="8"/>
        <v>Translation differences</v>
      </c>
      <c r="N135" s="759"/>
      <c r="O135" s="684">
        <v>-0.5</v>
      </c>
      <c r="P135" s="520"/>
      <c r="Q135" s="684">
        <v>-0.5</v>
      </c>
      <c r="W135" s="740">
        <v>-0.5</v>
      </c>
      <c r="X135" s="729">
        <f t="shared" si="6"/>
        <v>0</v>
      </c>
    </row>
    <row r="136" spans="1:24" x14ac:dyDescent="0.2">
      <c r="A136" s="375" t="s">
        <v>381</v>
      </c>
      <c r="B136" s="375"/>
      <c r="C136" s="312">
        <v>-1.4</v>
      </c>
      <c r="D136" s="520"/>
      <c r="E136" s="312">
        <v>-1.4</v>
      </c>
      <c r="M136" s="758" t="str">
        <f t="shared" si="8"/>
        <v xml:space="preserve">Deferred tax on the above items </v>
      </c>
      <c r="N136" s="759"/>
      <c r="O136" s="684">
        <v>-1.4</v>
      </c>
      <c r="P136" s="520"/>
      <c r="Q136" s="684">
        <v>-1.4</v>
      </c>
      <c r="W136" s="740">
        <v>-1.4</v>
      </c>
      <c r="X136" s="729">
        <f t="shared" si="6"/>
        <v>0</v>
      </c>
    </row>
    <row r="137" spans="1:24" x14ac:dyDescent="0.2">
      <c r="A137" s="378" t="s">
        <v>385</v>
      </c>
      <c r="B137" s="378"/>
      <c r="C137" s="308">
        <v>4.6999999999999993</v>
      </c>
      <c r="D137" s="680"/>
      <c r="E137" s="308">
        <v>4.6999999999999993</v>
      </c>
      <c r="M137" s="760" t="str">
        <f t="shared" si="8"/>
        <v>Total items that will subsequently be reclassified to net income:</v>
      </c>
      <c r="N137" s="761"/>
      <c r="O137" s="681">
        <v>4.6999999999999993</v>
      </c>
      <c r="P137" s="680"/>
      <c r="Q137" s="681">
        <v>4.6999999999999993</v>
      </c>
      <c r="W137" s="762">
        <f>SUM(W133:W136)</f>
        <v>102.46000000000012</v>
      </c>
      <c r="X137" s="729">
        <f t="shared" si="6"/>
        <v>97.760000000000119</v>
      </c>
    </row>
    <row r="138" spans="1:24" x14ac:dyDescent="0.2">
      <c r="A138" s="375" t="s">
        <v>389</v>
      </c>
      <c r="B138" s="375"/>
      <c r="C138" s="312">
        <v>-0.1</v>
      </c>
      <c r="D138" s="520"/>
      <c r="E138" s="312">
        <v>-0.1</v>
      </c>
      <c r="M138" s="758" t="str">
        <f t="shared" si="8"/>
        <v>Revaluation of defined benefit pension obligation</v>
      </c>
      <c r="N138" s="759"/>
      <c r="O138" s="684">
        <v>-0.1</v>
      </c>
      <c r="P138" s="520"/>
      <c r="Q138" s="684">
        <v>-0.1</v>
      </c>
      <c r="W138" s="740">
        <v>-0.1</v>
      </c>
      <c r="X138" s="729">
        <f t="shared" si="6"/>
        <v>0</v>
      </c>
    </row>
    <row r="139" spans="1:24" x14ac:dyDescent="0.2">
      <c r="A139" s="383" t="s">
        <v>393</v>
      </c>
      <c r="B139" s="383"/>
      <c r="C139" s="384">
        <v>-0.1</v>
      </c>
      <c r="D139" s="520"/>
      <c r="E139" s="384">
        <v>-0.1</v>
      </c>
      <c r="M139" s="763" t="str">
        <f t="shared" si="8"/>
        <v>Total items that will subsequently not be reclassified to net income:</v>
      </c>
      <c r="N139" s="764"/>
      <c r="O139" s="765">
        <v>-0.1</v>
      </c>
      <c r="P139" s="520"/>
      <c r="Q139" s="765">
        <v>-0.1</v>
      </c>
      <c r="W139" s="766">
        <f>SUM(W138)</f>
        <v>-0.1</v>
      </c>
      <c r="X139" s="729">
        <f t="shared" si="6"/>
        <v>0</v>
      </c>
    </row>
    <row r="140" spans="1:24" ht="12" thickBot="1" x14ac:dyDescent="0.25">
      <c r="A140" s="388" t="s">
        <v>396</v>
      </c>
      <c r="B140" s="388"/>
      <c r="C140" s="346">
        <v>4.26</v>
      </c>
      <c r="D140" s="705"/>
      <c r="E140" s="346">
        <v>4.26</v>
      </c>
      <c r="M140" s="767" t="str">
        <f t="shared" si="8"/>
        <v>Total other comprehensive income</v>
      </c>
      <c r="N140" s="768"/>
      <c r="O140" s="703">
        <v>4.26</v>
      </c>
      <c r="P140" s="705"/>
      <c r="Q140" s="703">
        <v>4.26</v>
      </c>
      <c r="W140" s="754">
        <v>4.26</v>
      </c>
      <c r="X140" s="729">
        <f t="shared" si="6"/>
        <v>0</v>
      </c>
    </row>
    <row r="141" spans="1:24" x14ac:dyDescent="0.2">
      <c r="A141" s="333" t="s">
        <v>398</v>
      </c>
      <c r="B141" s="333"/>
      <c r="C141" s="335">
        <v>82.700000000000117</v>
      </c>
      <c r="D141" s="257">
        <v>-75.267197505504498</v>
      </c>
      <c r="E141" s="335">
        <v>7.028024944954943</v>
      </c>
      <c r="M141" s="745" t="str">
        <f t="shared" si="8"/>
        <v>Comprehensive income for the period</v>
      </c>
      <c r="N141" s="698"/>
      <c r="O141" s="697">
        <v>82.700000000000117</v>
      </c>
      <c r="P141" s="257">
        <v>-75.267197505504498</v>
      </c>
      <c r="Q141" s="697">
        <v>7.028024944954943</v>
      </c>
      <c r="W141" s="769">
        <f>SUM(W137,W139,W140)</f>
        <v>106.62000000000013</v>
      </c>
      <c r="X141" s="729">
        <f t="shared" si="6"/>
        <v>23.920000000000016</v>
      </c>
    </row>
    <row r="142" spans="1:24" x14ac:dyDescent="0.2">
      <c r="A142" s="352" t="s">
        <v>402</v>
      </c>
      <c r="C142" s="361"/>
      <c r="D142" s="259"/>
      <c r="E142" s="361"/>
      <c r="M142" s="272" t="str">
        <f t="shared" si="8"/>
        <v>of which total comprehensive income for the period attributable to:</v>
      </c>
      <c r="N142" s="478"/>
      <c r="O142" s="471"/>
      <c r="P142" s="259"/>
      <c r="Q142" s="471"/>
      <c r="W142" s="770"/>
      <c r="X142" s="729">
        <f t="shared" si="6"/>
        <v>0</v>
      </c>
    </row>
    <row r="143" spans="1:24" x14ac:dyDescent="0.2">
      <c r="A143" s="365" t="s">
        <v>340</v>
      </c>
      <c r="C143" s="361">
        <v>78.100000000000122</v>
      </c>
      <c r="D143" s="259">
        <v>-75.267197505504498</v>
      </c>
      <c r="E143" s="361">
        <v>2.4280249449549434</v>
      </c>
      <c r="M143" s="757" t="str">
        <f t="shared" si="8"/>
        <v>Owners of the parent</v>
      </c>
      <c r="N143" s="478"/>
      <c r="O143" s="471">
        <v>78.100000000000122</v>
      </c>
      <c r="P143" s="259">
        <v>-75.267197505504498</v>
      </c>
      <c r="Q143" s="471">
        <v>2.4280249449549434</v>
      </c>
      <c r="W143" s="770">
        <v>78.100000000000122</v>
      </c>
      <c r="X143" s="729">
        <f t="shared" si="6"/>
        <v>0</v>
      </c>
    </row>
    <row r="144" spans="1:24" x14ac:dyDescent="0.2">
      <c r="A144" s="365" t="s">
        <v>346</v>
      </c>
      <c r="C144" s="361">
        <v>4.26</v>
      </c>
      <c r="D144" s="259"/>
      <c r="E144" s="361">
        <v>4.26</v>
      </c>
      <c r="M144" s="757" t="str">
        <f t="shared" si="8"/>
        <v>Non-controlling interests</v>
      </c>
      <c r="N144" s="478"/>
      <c r="O144" s="471">
        <v>4.26</v>
      </c>
      <c r="P144" s="259"/>
      <c r="Q144" s="471">
        <v>4.26</v>
      </c>
      <c r="W144" s="770">
        <v>4.26</v>
      </c>
      <c r="X144" s="729">
        <f t="shared" si="6"/>
        <v>0</v>
      </c>
    </row>
    <row r="145" spans="1:24" x14ac:dyDescent="0.2">
      <c r="A145" s="352" t="s">
        <v>590</v>
      </c>
      <c r="C145" s="346">
        <v>10.555801426713399</v>
      </c>
      <c r="D145" s="259">
        <v>-10.2272635262633</v>
      </c>
      <c r="E145" s="346">
        <v>0.32812658037925102</v>
      </c>
      <c r="M145" s="272" t="s">
        <v>591</v>
      </c>
      <c r="N145" s="478"/>
      <c r="O145" s="703">
        <v>10.555801426713399</v>
      </c>
      <c r="P145" s="259">
        <v>-10.2272635262633</v>
      </c>
      <c r="Q145" s="703">
        <v>0.32812658037925102</v>
      </c>
      <c r="W145" s="754">
        <v>10.555801426713399</v>
      </c>
      <c r="X145" s="729">
        <f t="shared" si="6"/>
        <v>0</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F2E61-556B-4D76-ABC1-8944DAE32566}">
  <sheetPr>
    <tabColor theme="9" tint="-0.249977111117893"/>
  </sheetPr>
  <dimension ref="A1:H91"/>
  <sheetViews>
    <sheetView workbookViewId="0"/>
    <sheetView workbookViewId="1"/>
  </sheetViews>
  <sheetFormatPr defaultRowHeight="15.75" outlineLevelCol="1" x14ac:dyDescent="0.25"/>
  <cols>
    <col min="1" max="1" width="64.42578125" style="2398" bestFit="1" customWidth="1"/>
    <col min="2" max="3" width="9.85546875" style="2398" customWidth="1" outlineLevel="1"/>
    <col min="4" max="5" width="9.85546875" style="2398" customWidth="1"/>
    <col min="6" max="7" width="9.85546875" style="2398" customWidth="1" outlineLevel="1"/>
    <col min="9" max="16384" width="9.140625" style="2398"/>
  </cols>
  <sheetData>
    <row r="1" spans="1:7" x14ac:dyDescent="0.25">
      <c r="A1" s="2399" t="s">
        <v>919</v>
      </c>
      <c r="B1" s="2400"/>
      <c r="C1" s="2400"/>
      <c r="D1" s="2400"/>
      <c r="E1" s="2400"/>
      <c r="F1" s="2400"/>
      <c r="G1" s="2399"/>
    </row>
    <row r="2" spans="1:7" x14ac:dyDescent="0.25">
      <c r="A2" s="2401"/>
      <c r="B2" s="2402" t="s">
        <v>207</v>
      </c>
      <c r="C2" s="2402" t="s">
        <v>207</v>
      </c>
      <c r="D2" s="2402" t="s">
        <v>207</v>
      </c>
      <c r="E2" s="2402" t="s">
        <v>207</v>
      </c>
      <c r="F2" s="2402" t="s">
        <v>920</v>
      </c>
      <c r="G2" s="2402"/>
    </row>
    <row r="3" spans="1:7" x14ac:dyDescent="0.25">
      <c r="A3" s="2401"/>
      <c r="B3" s="2403">
        <v>2026</v>
      </c>
      <c r="C3" s="2403">
        <v>2025</v>
      </c>
      <c r="D3" s="2403">
        <v>2026</v>
      </c>
      <c r="E3" s="2403">
        <v>2025</v>
      </c>
      <c r="F3" s="2403" t="s">
        <v>921</v>
      </c>
      <c r="G3" s="2403">
        <v>2025</v>
      </c>
    </row>
    <row r="4" spans="1:7" x14ac:dyDescent="0.25">
      <c r="A4" s="2404" t="s">
        <v>10</v>
      </c>
      <c r="B4" s="2405"/>
      <c r="C4" s="2405"/>
      <c r="D4" s="2405"/>
      <c r="E4" s="2405"/>
      <c r="F4" s="2405"/>
      <c r="G4" s="2405"/>
    </row>
    <row r="5" spans="1:7" x14ac:dyDescent="0.25">
      <c r="A5" s="2406" t="s">
        <v>294</v>
      </c>
      <c r="B5" s="2407">
        <v>50.399999999999984</v>
      </c>
      <c r="C5" s="2407">
        <v>57.500000000000064</v>
      </c>
      <c r="D5" s="2407">
        <v>50.399999999999984</v>
      </c>
      <c r="E5" s="2407">
        <v>57.500000000000064</v>
      </c>
      <c r="F5" s="2407">
        <v>141.5</v>
      </c>
      <c r="G5" s="2407">
        <v>148.60000000000011</v>
      </c>
    </row>
    <row r="6" spans="1:7" x14ac:dyDescent="0.25">
      <c r="A6" s="2406" t="s">
        <v>922</v>
      </c>
      <c r="B6" s="2407">
        <v>22.000000000000004</v>
      </c>
      <c r="C6" s="2407">
        <v>21.9</v>
      </c>
      <c r="D6" s="2407">
        <v>22.000000000000004</v>
      </c>
      <c r="E6" s="2407">
        <v>21.9</v>
      </c>
      <c r="F6" s="2407">
        <v>88.8</v>
      </c>
      <c r="G6" s="2407">
        <v>88.7</v>
      </c>
    </row>
    <row r="7" spans="1:7" x14ac:dyDescent="0.25">
      <c r="A7" s="2408" t="s">
        <v>10</v>
      </c>
      <c r="B7" s="2409">
        <v>72.399999999999991</v>
      </c>
      <c r="C7" s="2409">
        <v>79.400000000000063</v>
      </c>
      <c r="D7" s="2409">
        <v>72.399999999999991</v>
      </c>
      <c r="E7" s="2409">
        <v>79.400000000000063</v>
      </c>
      <c r="F7" s="2409">
        <v>230.3</v>
      </c>
      <c r="G7" s="2409">
        <v>237.30000000000013</v>
      </c>
    </row>
    <row r="8" spans="1:7" x14ac:dyDescent="0.25">
      <c r="A8" s="2406"/>
      <c r="B8" s="2407"/>
      <c r="C8" s="2407"/>
      <c r="D8" s="2407"/>
      <c r="E8" s="2407"/>
      <c r="F8" s="2407"/>
      <c r="G8" s="2407"/>
    </row>
    <row r="9" spans="1:7" x14ac:dyDescent="0.25">
      <c r="A9" s="2404" t="s">
        <v>325</v>
      </c>
      <c r="B9" s="2405"/>
      <c r="C9" s="2405"/>
      <c r="D9" s="2405"/>
      <c r="E9" s="2405"/>
      <c r="F9" s="2405"/>
      <c r="G9" s="2405"/>
    </row>
    <row r="10" spans="1:7" x14ac:dyDescent="0.25">
      <c r="A10" s="2406" t="s">
        <v>248</v>
      </c>
      <c r="B10" s="2407">
        <v>50.399999999999984</v>
      </c>
      <c r="C10" s="2407">
        <v>57.500000000000064</v>
      </c>
      <c r="D10" s="2407">
        <v>50.399999999999984</v>
      </c>
      <c r="E10" s="2407">
        <v>57.500000000000064</v>
      </c>
      <c r="F10" s="2407">
        <v>141.5</v>
      </c>
      <c r="G10" s="2407">
        <v>148.60000000000011</v>
      </c>
    </row>
    <row r="11" spans="1:7" x14ac:dyDescent="0.25">
      <c r="A11" s="2410" t="s">
        <v>2</v>
      </c>
      <c r="B11" s="2411">
        <v>609.6</v>
      </c>
      <c r="C11" s="2411">
        <v>639.6</v>
      </c>
      <c r="D11" s="2411">
        <v>609.6</v>
      </c>
      <c r="E11" s="2411">
        <v>639.6</v>
      </c>
      <c r="F11" s="2411">
        <v>2299.8000000000002</v>
      </c>
      <c r="G11" s="2411">
        <v>2329.8000000000002</v>
      </c>
    </row>
    <row r="12" spans="1:7" x14ac:dyDescent="0.25">
      <c r="A12" s="2406" t="s">
        <v>325</v>
      </c>
      <c r="B12" s="2407">
        <v>8.2677165354330686</v>
      </c>
      <c r="C12" s="2407">
        <v>8.9899937460913169</v>
      </c>
      <c r="D12" s="2407">
        <v>8.2677165354330686</v>
      </c>
      <c r="E12" s="2407">
        <v>8.9899937460913169</v>
      </c>
      <c r="F12" s="2407">
        <v>6.1527089312114089</v>
      </c>
      <c r="G12" s="2407">
        <v>6.3782298909777699</v>
      </c>
    </row>
    <row r="13" spans="1:7" x14ac:dyDescent="0.25">
      <c r="A13" s="2406"/>
      <c r="B13" s="2407"/>
      <c r="C13" s="2407"/>
      <c r="D13" s="2407"/>
      <c r="E13" s="2407"/>
      <c r="F13" s="2407"/>
      <c r="G13" s="2407"/>
    </row>
    <row r="14" spans="1:7" x14ac:dyDescent="0.25">
      <c r="A14" s="2404" t="s">
        <v>331</v>
      </c>
      <c r="B14" s="2407"/>
      <c r="C14" s="2407"/>
      <c r="D14" s="2407"/>
      <c r="E14" s="2407"/>
      <c r="F14" s="2407"/>
      <c r="G14" s="2407"/>
    </row>
    <row r="15" spans="1:7" x14ac:dyDescent="0.25">
      <c r="A15" s="2406" t="s">
        <v>329</v>
      </c>
      <c r="B15" s="2407">
        <v>47.199999999999982</v>
      </c>
      <c r="C15" s="2407">
        <v>58.900000000000063</v>
      </c>
      <c r="D15" s="2407">
        <v>47.199999999999982</v>
      </c>
      <c r="E15" s="2407">
        <v>58.900000000000063</v>
      </c>
      <c r="F15" s="2407">
        <v>130</v>
      </c>
      <c r="G15" s="2407">
        <v>141.7000000000001</v>
      </c>
    </row>
    <row r="16" spans="1:7" x14ac:dyDescent="0.25">
      <c r="A16" s="2410" t="s">
        <v>2</v>
      </c>
      <c r="B16" s="2411">
        <v>609.6</v>
      </c>
      <c r="C16" s="2411">
        <v>639.6</v>
      </c>
      <c r="D16" s="2411">
        <v>609.6</v>
      </c>
      <c r="E16" s="2411">
        <v>639.6</v>
      </c>
      <c r="F16" s="2411">
        <v>2299.8000000000002</v>
      </c>
      <c r="G16" s="2411">
        <v>2329.8000000000002</v>
      </c>
    </row>
    <row r="17" spans="1:7" x14ac:dyDescent="0.25">
      <c r="A17" s="2406" t="s">
        <v>331</v>
      </c>
      <c r="B17" s="2407">
        <v>7.7427821522309674</v>
      </c>
      <c r="C17" s="2407">
        <v>9.2088805503439737</v>
      </c>
      <c r="D17" s="2407">
        <v>7.7427821522309674</v>
      </c>
      <c r="E17" s="2407">
        <v>9.2088805503439737</v>
      </c>
      <c r="F17" s="2407">
        <v>5.6526654491694925</v>
      </c>
      <c r="G17" s="2407">
        <v>6.0820671302257745</v>
      </c>
    </row>
    <row r="18" spans="1:7" x14ac:dyDescent="0.25">
      <c r="A18" s="2406"/>
      <c r="B18" s="2407"/>
      <c r="C18" s="2405"/>
      <c r="D18" s="2405"/>
      <c r="E18" s="2405"/>
      <c r="F18" s="2405"/>
      <c r="G18" s="2405"/>
    </row>
    <row r="19" spans="1:7" x14ac:dyDescent="0.25">
      <c r="A19" s="2404" t="s">
        <v>33</v>
      </c>
      <c r="B19" s="2407"/>
      <c r="C19" s="2405"/>
      <c r="D19" s="2405"/>
      <c r="E19" s="2405"/>
      <c r="F19" s="2405"/>
      <c r="G19" s="2405"/>
    </row>
    <row r="20" spans="1:7" x14ac:dyDescent="0.25">
      <c r="A20" s="2406" t="s">
        <v>923</v>
      </c>
      <c r="B20" s="2412">
        <v>135.99999999999994</v>
      </c>
      <c r="C20" s="2412">
        <v>173.60000000000025</v>
      </c>
      <c r="D20" s="2412">
        <v>135.99999999999994</v>
      </c>
      <c r="E20" s="2412">
        <v>173.60000000000025</v>
      </c>
      <c r="F20" s="2412">
        <v>68.7</v>
      </c>
      <c r="G20" s="2412">
        <v>78.100000000000108</v>
      </c>
    </row>
    <row r="21" spans="1:7" x14ac:dyDescent="0.25">
      <c r="A21" s="2406" t="s">
        <v>924</v>
      </c>
      <c r="B21" s="2412">
        <v>726.05</v>
      </c>
      <c r="C21" s="2412">
        <v>698.2</v>
      </c>
      <c r="D21" s="2412">
        <v>726.05</v>
      </c>
      <c r="E21" s="2412">
        <v>698.2</v>
      </c>
      <c r="F21" s="2412">
        <v>729.7</v>
      </c>
      <c r="G21" s="2412">
        <v>694.55</v>
      </c>
    </row>
    <row r="22" spans="1:7" x14ac:dyDescent="0.25">
      <c r="A22" s="2408" t="s">
        <v>33</v>
      </c>
      <c r="B22" s="2413">
        <v>18.731492321465456</v>
      </c>
      <c r="C22" s="2413">
        <v>24.86393583500433</v>
      </c>
      <c r="D22" s="2413">
        <v>18.731492321465456</v>
      </c>
      <c r="E22" s="2413">
        <v>24.86393583500433</v>
      </c>
      <c r="F22" s="2413">
        <v>9.4148280115115792</v>
      </c>
      <c r="G22" s="2413">
        <v>11.244690806997353</v>
      </c>
    </row>
    <row r="23" spans="1:7" x14ac:dyDescent="0.25">
      <c r="A23" s="2406"/>
      <c r="B23" s="2414"/>
      <c r="C23" s="2414"/>
      <c r="D23" s="2414"/>
      <c r="E23" s="2414"/>
      <c r="F23" s="2414"/>
      <c r="G23" s="2414"/>
    </row>
    <row r="24" spans="1:7" x14ac:dyDescent="0.25">
      <c r="A24" s="2404" t="s">
        <v>343</v>
      </c>
      <c r="B24" s="2407"/>
      <c r="C24" s="2405"/>
      <c r="D24" s="2405"/>
      <c r="E24" s="2405"/>
      <c r="F24" s="2405"/>
      <c r="G24" s="2405"/>
    </row>
    <row r="25" spans="1:7" x14ac:dyDescent="0.25">
      <c r="A25" s="2406" t="s">
        <v>925</v>
      </c>
      <c r="B25" s="2412">
        <v>188.79999999999993</v>
      </c>
      <c r="C25" s="2412">
        <v>235.60000000000025</v>
      </c>
      <c r="D25" s="2412">
        <v>188.79999999999993</v>
      </c>
      <c r="E25" s="2412">
        <v>235.60000000000025</v>
      </c>
      <c r="F25" s="2412">
        <v>130</v>
      </c>
      <c r="G25" s="2412">
        <v>141.7000000000001</v>
      </c>
    </row>
    <row r="26" spans="1:7" x14ac:dyDescent="0.25">
      <c r="A26" s="2406" t="s">
        <v>926</v>
      </c>
      <c r="B26" s="2412">
        <v>7.6</v>
      </c>
      <c r="C26" s="2412">
        <v>6</v>
      </c>
      <c r="D26" s="2412">
        <v>7.6</v>
      </c>
      <c r="E26" s="2412">
        <v>6</v>
      </c>
      <c r="F26" s="2412">
        <v>13.7</v>
      </c>
      <c r="G26" s="2412">
        <v>6.2</v>
      </c>
    </row>
    <row r="27" spans="1:7" x14ac:dyDescent="0.25">
      <c r="A27" s="2406" t="s">
        <v>924</v>
      </c>
      <c r="B27" s="2412">
        <v>726.05</v>
      </c>
      <c r="C27" s="2412">
        <v>698.2</v>
      </c>
      <c r="D27" s="2412">
        <v>726.05</v>
      </c>
      <c r="E27" s="2412">
        <v>698.2</v>
      </c>
      <c r="F27" s="2412">
        <v>729.7</v>
      </c>
      <c r="G27" s="2412">
        <v>694.55</v>
      </c>
    </row>
    <row r="28" spans="1:7" x14ac:dyDescent="0.25">
      <c r="A28" s="2406" t="s">
        <v>927</v>
      </c>
      <c r="B28" s="2412">
        <v>206.75</v>
      </c>
      <c r="C28" s="2412">
        <v>120.9</v>
      </c>
      <c r="D28" s="2412">
        <v>206.75</v>
      </c>
      <c r="E28" s="2412">
        <v>120.9</v>
      </c>
      <c r="F28" s="2412">
        <v>153.1</v>
      </c>
      <c r="G28" s="2412">
        <v>174.55</v>
      </c>
    </row>
    <row r="29" spans="1:7" x14ac:dyDescent="0.25">
      <c r="A29" s="2406" t="s">
        <v>928</v>
      </c>
      <c r="B29" s="2412">
        <v>932.8</v>
      </c>
      <c r="C29" s="2412">
        <v>819.1</v>
      </c>
      <c r="D29" s="2412">
        <v>932.8</v>
      </c>
      <c r="E29" s="2412">
        <v>819.1</v>
      </c>
      <c r="F29" s="2412">
        <v>882.80000000000007</v>
      </c>
      <c r="G29" s="2412">
        <v>869.09999999999991</v>
      </c>
    </row>
    <row r="30" spans="1:7" x14ac:dyDescent="0.25">
      <c r="A30" s="2408" t="s">
        <v>343</v>
      </c>
      <c r="B30" s="2413">
        <v>21.05488850771869</v>
      </c>
      <c r="C30" s="2413">
        <v>29.495788060065959</v>
      </c>
      <c r="D30" s="2413">
        <v>21.05488850771869</v>
      </c>
      <c r="E30" s="2413">
        <v>29.495788060065959</v>
      </c>
      <c r="F30" s="2413">
        <v>16.27775260534662</v>
      </c>
      <c r="G30" s="2413">
        <v>17.017604418363838</v>
      </c>
    </row>
    <row r="31" spans="1:7" x14ac:dyDescent="0.25">
      <c r="A31" s="2406"/>
      <c r="B31" s="2414"/>
      <c r="C31" s="2414"/>
      <c r="D31" s="2414"/>
      <c r="E31" s="2414"/>
      <c r="F31" s="2414"/>
      <c r="G31" s="2414"/>
    </row>
    <row r="32" spans="1:7" x14ac:dyDescent="0.25">
      <c r="A32" s="2404" t="s">
        <v>21</v>
      </c>
      <c r="B32" s="2414"/>
      <c r="C32" s="2414"/>
      <c r="D32" s="2414"/>
      <c r="E32" s="2414"/>
      <c r="F32" s="2414"/>
      <c r="G32" s="2414"/>
    </row>
    <row r="33" spans="1:7" x14ac:dyDescent="0.25">
      <c r="A33" s="2406" t="s">
        <v>612</v>
      </c>
      <c r="B33" s="2412"/>
      <c r="C33" s="2412"/>
      <c r="D33" s="2412">
        <v>37</v>
      </c>
      <c r="E33" s="2412">
        <v>49.9</v>
      </c>
      <c r="F33" s="2412"/>
      <c r="G33" s="2412">
        <v>50</v>
      </c>
    </row>
    <row r="34" spans="1:7" x14ac:dyDescent="0.25">
      <c r="A34" s="2410" t="s">
        <v>929</v>
      </c>
      <c r="B34" s="2415"/>
      <c r="C34" s="2415"/>
      <c r="D34" s="2415">
        <v>114.30000000000001</v>
      </c>
      <c r="E34" s="2415">
        <v>204.7</v>
      </c>
      <c r="F34" s="2415"/>
      <c r="G34" s="2415">
        <v>84</v>
      </c>
    </row>
    <row r="35" spans="1:7" x14ac:dyDescent="0.25">
      <c r="A35" s="2406" t="s">
        <v>21</v>
      </c>
      <c r="B35" s="2412"/>
      <c r="C35" s="2412"/>
      <c r="D35" s="2412">
        <v>151.30000000000001</v>
      </c>
      <c r="E35" s="2412">
        <v>254.6</v>
      </c>
      <c r="F35" s="2412"/>
      <c r="G35" s="2412">
        <v>134</v>
      </c>
    </row>
    <row r="36" spans="1:7" x14ac:dyDescent="0.25">
      <c r="A36" s="2406"/>
      <c r="B36" s="2414"/>
      <c r="C36" s="2414"/>
      <c r="D36" s="2414"/>
      <c r="E36" s="2414"/>
      <c r="F36" s="2414"/>
      <c r="G36" s="2414"/>
    </row>
    <row r="37" spans="1:7" x14ac:dyDescent="0.25">
      <c r="A37" s="2404" t="s">
        <v>259</v>
      </c>
      <c r="B37" s="2414"/>
      <c r="C37" s="2414"/>
      <c r="D37" s="2414"/>
      <c r="E37" s="2414"/>
      <c r="F37" s="2414"/>
      <c r="G37" s="2414"/>
    </row>
    <row r="38" spans="1:7" x14ac:dyDescent="0.25">
      <c r="A38" s="2406" t="s">
        <v>424</v>
      </c>
      <c r="B38" s="2412"/>
      <c r="C38" s="2412"/>
      <c r="D38" s="2412">
        <v>189.7</v>
      </c>
      <c r="E38" s="2412">
        <v>116.5</v>
      </c>
      <c r="F38" s="2412"/>
      <c r="G38" s="2412">
        <v>223.8</v>
      </c>
    </row>
    <row r="39" spans="1:7" x14ac:dyDescent="0.25">
      <c r="A39" s="2410" t="s">
        <v>612</v>
      </c>
      <c r="B39" s="2415"/>
      <c r="C39" s="2415"/>
      <c r="D39" s="2415">
        <v>37</v>
      </c>
      <c r="E39" s="2415">
        <v>49.9</v>
      </c>
      <c r="F39" s="2415"/>
      <c r="G39" s="2415">
        <v>50</v>
      </c>
    </row>
    <row r="40" spans="1:7" x14ac:dyDescent="0.25">
      <c r="A40" s="2406" t="s">
        <v>259</v>
      </c>
      <c r="B40" s="2412"/>
      <c r="C40" s="2412"/>
      <c r="D40" s="2412">
        <v>152.69999999999999</v>
      </c>
      <c r="E40" s="2412">
        <v>66.599999999999994</v>
      </c>
      <c r="F40" s="2412"/>
      <c r="G40" s="2412">
        <v>173.8</v>
      </c>
    </row>
    <row r="41" spans="1:7" x14ac:dyDescent="0.25">
      <c r="A41" s="2406"/>
      <c r="B41" s="2414"/>
      <c r="C41" s="2414"/>
      <c r="D41" s="2414"/>
      <c r="E41" s="2414"/>
      <c r="F41" s="2414"/>
      <c r="G41" s="2414"/>
    </row>
    <row r="42" spans="1:7" x14ac:dyDescent="0.25">
      <c r="A42" s="2404" t="s">
        <v>265</v>
      </c>
      <c r="B42" s="2414"/>
      <c r="C42" s="2414"/>
      <c r="D42" s="2414"/>
      <c r="E42" s="2414"/>
      <c r="F42" s="2414"/>
      <c r="G42" s="2414"/>
    </row>
    <row r="43" spans="1:7" x14ac:dyDescent="0.25">
      <c r="A43" s="2406" t="s">
        <v>424</v>
      </c>
      <c r="B43" s="2412"/>
      <c r="C43" s="2412"/>
      <c r="D43" s="2412">
        <v>189.7</v>
      </c>
      <c r="E43" s="2412">
        <v>116.5</v>
      </c>
      <c r="F43" s="2412"/>
      <c r="G43" s="2412">
        <v>223.8</v>
      </c>
    </row>
    <row r="44" spans="1:7" x14ac:dyDescent="0.25">
      <c r="A44" s="2406" t="s">
        <v>612</v>
      </c>
      <c r="B44" s="2412"/>
      <c r="C44" s="2412"/>
      <c r="D44" s="2412">
        <v>37</v>
      </c>
      <c r="E44" s="2412">
        <v>49.9</v>
      </c>
      <c r="F44" s="2412"/>
      <c r="G44" s="2412">
        <v>50</v>
      </c>
    </row>
    <row r="45" spans="1:7" x14ac:dyDescent="0.25">
      <c r="A45" s="2410" t="s">
        <v>930</v>
      </c>
      <c r="B45" s="2416"/>
      <c r="C45" s="2416"/>
      <c r="D45" s="2416">
        <v>230.3</v>
      </c>
      <c r="E45" s="2416">
        <v>265.10000000000019</v>
      </c>
      <c r="F45" s="2416"/>
      <c r="G45" s="2416">
        <v>237.30000000000013</v>
      </c>
    </row>
    <row r="46" spans="1:7" x14ac:dyDescent="0.25">
      <c r="A46" s="2406" t="s">
        <v>265</v>
      </c>
      <c r="B46" s="2417"/>
      <c r="C46" s="2417"/>
      <c r="D46" s="2417">
        <v>0.66304819800260517</v>
      </c>
      <c r="E46" s="2417">
        <v>0.25122595247076557</v>
      </c>
      <c r="F46" s="2417"/>
      <c r="G46" s="2417">
        <v>0.73240623683101524</v>
      </c>
    </row>
    <row r="47" spans="1:7" x14ac:dyDescent="0.25">
      <c r="A47" s="2406"/>
      <c r="B47" s="2414"/>
      <c r="C47" s="2414"/>
      <c r="D47" s="2414"/>
      <c r="E47" s="2414"/>
      <c r="F47" s="2414"/>
      <c r="G47" s="2414"/>
    </row>
    <row r="48" spans="1:7" x14ac:dyDescent="0.25">
      <c r="A48" s="2404" t="s">
        <v>362</v>
      </c>
      <c r="B48" s="2414"/>
      <c r="C48" s="2414"/>
      <c r="D48" s="2414"/>
      <c r="E48" s="2414"/>
      <c r="F48" s="2414"/>
      <c r="G48" s="2414"/>
    </row>
    <row r="49" spans="1:7" x14ac:dyDescent="0.25">
      <c r="A49" s="2406" t="s">
        <v>424</v>
      </c>
      <c r="B49" s="2412"/>
      <c r="C49" s="2412"/>
      <c r="D49" s="2412">
        <v>189.7</v>
      </c>
      <c r="E49" s="2412">
        <v>116.5</v>
      </c>
      <c r="F49" s="2412"/>
      <c r="G49" s="2412">
        <v>223.8</v>
      </c>
    </row>
    <row r="50" spans="1:7" x14ac:dyDescent="0.25">
      <c r="A50" s="2406" t="s">
        <v>612</v>
      </c>
      <c r="B50" s="2412"/>
      <c r="C50" s="2412"/>
      <c r="D50" s="2412">
        <v>37</v>
      </c>
      <c r="E50" s="2412">
        <v>49.9</v>
      </c>
      <c r="F50" s="2412"/>
      <c r="G50" s="2412">
        <v>50</v>
      </c>
    </row>
    <row r="51" spans="1:7" x14ac:dyDescent="0.25">
      <c r="A51" s="2410" t="s">
        <v>429</v>
      </c>
      <c r="B51" s="2415"/>
      <c r="C51" s="2415"/>
      <c r="D51" s="2415">
        <v>737.3</v>
      </c>
      <c r="E51" s="2415">
        <v>722.1</v>
      </c>
      <c r="F51" s="2415"/>
      <c r="G51" s="2415">
        <v>714.8</v>
      </c>
    </row>
    <row r="52" spans="1:7" x14ac:dyDescent="0.25">
      <c r="A52" s="2406" t="s">
        <v>362</v>
      </c>
      <c r="B52" s="2412"/>
      <c r="C52" s="2412"/>
      <c r="D52" s="2412">
        <v>0.20710701207107013</v>
      </c>
      <c r="E52" s="2412">
        <v>9.223099293726629E-2</v>
      </c>
      <c r="F52" s="2412"/>
      <c r="G52" s="2412">
        <v>0.24314493564633466</v>
      </c>
    </row>
    <row r="53" spans="1:7" x14ac:dyDescent="0.25">
      <c r="A53" s="2406"/>
      <c r="B53" s="2414"/>
      <c r="C53" s="2414"/>
      <c r="D53" s="2414"/>
      <c r="E53" s="2414"/>
      <c r="F53" s="2414"/>
      <c r="G53" s="2414"/>
    </row>
    <row r="54" spans="1:7" x14ac:dyDescent="0.25">
      <c r="A54" s="2404" t="s">
        <v>357</v>
      </c>
      <c r="B54" s="2414"/>
      <c r="C54" s="2414"/>
      <c r="D54" s="2414"/>
      <c r="E54" s="2414"/>
      <c r="F54" s="2414"/>
      <c r="G54" s="2414"/>
    </row>
    <row r="55" spans="1:7" x14ac:dyDescent="0.25">
      <c r="A55" s="2406" t="s">
        <v>429</v>
      </c>
      <c r="B55" s="2417"/>
      <c r="C55" s="2417"/>
      <c r="D55" s="2417">
        <v>737.3</v>
      </c>
      <c r="E55" s="2417">
        <v>722.1</v>
      </c>
      <c r="F55" s="2417"/>
      <c r="G55" s="2417">
        <v>714.8</v>
      </c>
    </row>
    <row r="56" spans="1:7" x14ac:dyDescent="0.25">
      <c r="A56" s="2410" t="s">
        <v>36</v>
      </c>
      <c r="B56" s="2416"/>
      <c r="C56" s="2416"/>
      <c r="D56" s="2416">
        <v>1456.3</v>
      </c>
      <c r="E56" s="2416">
        <v>1464.6999999999998</v>
      </c>
      <c r="F56" s="2416"/>
      <c r="G56" s="2416">
        <v>1400.6</v>
      </c>
    </row>
    <row r="57" spans="1:7" x14ac:dyDescent="0.25">
      <c r="A57" s="2406" t="s">
        <v>357</v>
      </c>
      <c r="B57" s="2417"/>
      <c r="C57" s="2417"/>
      <c r="D57" s="2417">
        <v>50.628304607567124</v>
      </c>
      <c r="E57" s="2417">
        <v>49.300197992763032</v>
      </c>
      <c r="F57" s="2417"/>
      <c r="G57" s="2417">
        <v>51.035270598315009</v>
      </c>
    </row>
    <row r="58" spans="1:7" x14ac:dyDescent="0.25">
      <c r="A58" s="2406"/>
      <c r="B58" s="2414"/>
      <c r="C58" s="2414"/>
      <c r="D58" s="2414"/>
      <c r="E58" s="2414"/>
      <c r="F58" s="2414"/>
      <c r="G58" s="2414"/>
    </row>
    <row r="59" spans="1:7" x14ac:dyDescent="0.25">
      <c r="A59" s="2404" t="s">
        <v>414</v>
      </c>
      <c r="B59" s="2414"/>
      <c r="C59" s="2414"/>
      <c r="D59" s="2414"/>
      <c r="E59" s="2414"/>
      <c r="F59" s="2414"/>
      <c r="G59" s="2414"/>
    </row>
    <row r="60" spans="1:7" x14ac:dyDescent="0.25">
      <c r="A60" s="2406" t="s">
        <v>931</v>
      </c>
      <c r="B60" s="2414"/>
      <c r="C60" s="2414"/>
      <c r="D60" s="2412">
        <v>2438.4</v>
      </c>
      <c r="E60" s="2412">
        <v>2558.4</v>
      </c>
      <c r="F60" s="2412">
        <v>2299.8000000000002</v>
      </c>
      <c r="G60" s="2412">
        <v>2329.8000000000002</v>
      </c>
    </row>
    <row r="61" spans="1:7" x14ac:dyDescent="0.25">
      <c r="A61" s="2406" t="s">
        <v>928</v>
      </c>
      <c r="B61" s="2414"/>
      <c r="C61" s="2414"/>
      <c r="D61" s="2412">
        <v>932.8</v>
      </c>
      <c r="E61" s="2412">
        <v>819.1</v>
      </c>
      <c r="F61" s="2412">
        <v>882.80000000000007</v>
      </c>
      <c r="G61" s="2412">
        <v>869.09999999999991</v>
      </c>
    </row>
    <row r="62" spans="1:7" x14ac:dyDescent="0.25">
      <c r="A62" s="2408" t="s">
        <v>414</v>
      </c>
      <c r="B62" s="2418"/>
      <c r="C62" s="2418"/>
      <c r="D62" s="2413">
        <v>2.6140651801029162</v>
      </c>
      <c r="E62" s="2413">
        <v>3.12342815285069</v>
      </c>
      <c r="F62" s="2419">
        <v>2.6051200724966019</v>
      </c>
      <c r="G62" s="2413">
        <v>2.6807041767345536</v>
      </c>
    </row>
    <row r="63" spans="1:7" x14ac:dyDescent="0.25">
      <c r="A63" s="2406"/>
      <c r="B63" s="2414"/>
      <c r="C63" s="2414"/>
      <c r="D63" s="2414"/>
      <c r="E63" s="2414"/>
      <c r="F63" s="2414"/>
      <c r="G63" s="2414"/>
    </row>
    <row r="64" spans="1:7" x14ac:dyDescent="0.25">
      <c r="A64" s="2404" t="s">
        <v>415</v>
      </c>
      <c r="B64" s="2414"/>
      <c r="C64" s="2414"/>
      <c r="D64" s="2414"/>
      <c r="E64" s="2414"/>
      <c r="F64" s="2414"/>
      <c r="G64" s="2414"/>
    </row>
    <row r="65" spans="1:7" x14ac:dyDescent="0.25">
      <c r="A65" s="2406" t="s">
        <v>429</v>
      </c>
      <c r="B65" s="2417"/>
      <c r="C65" s="2417"/>
      <c r="D65" s="2417">
        <v>737.3</v>
      </c>
      <c r="E65" s="2417">
        <v>722.1</v>
      </c>
      <c r="F65" s="2417"/>
      <c r="G65" s="2417">
        <v>714.8</v>
      </c>
    </row>
    <row r="66" spans="1:7" x14ac:dyDescent="0.25">
      <c r="A66" s="2406" t="s">
        <v>430</v>
      </c>
      <c r="B66" s="2417"/>
      <c r="C66" s="2417"/>
      <c r="D66" s="2417">
        <v>95.1</v>
      </c>
      <c r="E66" s="2417">
        <v>95.3</v>
      </c>
      <c r="F66" s="2417"/>
      <c r="G66" s="2417">
        <v>96.7</v>
      </c>
    </row>
    <row r="67" spans="1:7" x14ac:dyDescent="0.25">
      <c r="A67" s="2410" t="s">
        <v>36</v>
      </c>
      <c r="B67" s="2416"/>
      <c r="C67" s="2416"/>
      <c r="D67" s="2416">
        <v>1456.3</v>
      </c>
      <c r="E67" s="2416">
        <v>1464.6999999999998</v>
      </c>
      <c r="F67" s="2416"/>
      <c r="G67" s="2416">
        <v>1400.6</v>
      </c>
    </row>
    <row r="68" spans="1:7" x14ac:dyDescent="0.25">
      <c r="A68" s="2406" t="s">
        <v>415</v>
      </c>
      <c r="B68" s="2420"/>
      <c r="C68" s="2420"/>
      <c r="D68" s="2417">
        <v>57.158552496051641</v>
      </c>
      <c r="E68" s="2417">
        <v>55.806649825902923</v>
      </c>
      <c r="F68" s="2420"/>
      <c r="G68" s="2417">
        <v>57.939454519491647</v>
      </c>
    </row>
    <row r="69" spans="1:7" x14ac:dyDescent="0.25">
      <c r="A69" s="2406"/>
      <c r="B69" s="2414"/>
      <c r="C69" s="2414"/>
      <c r="D69" s="2414"/>
      <c r="E69" s="2414"/>
      <c r="F69" s="2414"/>
      <c r="G69" s="2414"/>
    </row>
    <row r="70" spans="1:7" x14ac:dyDescent="0.25">
      <c r="A70" s="2404" t="s">
        <v>416</v>
      </c>
      <c r="B70" s="2414"/>
      <c r="C70" s="2414"/>
      <c r="D70" s="2414"/>
      <c r="E70" s="2414"/>
      <c r="F70" s="2414"/>
      <c r="G70" s="2414"/>
    </row>
    <row r="71" spans="1:7" x14ac:dyDescent="0.25">
      <c r="A71" s="2406" t="s">
        <v>932</v>
      </c>
      <c r="B71" s="2412">
        <v>49.09999999999998</v>
      </c>
      <c r="C71" s="2412">
        <v>60.40000000000007</v>
      </c>
      <c r="D71" s="2412">
        <v>49.09999999999998</v>
      </c>
      <c r="E71" s="2412">
        <v>60.40000000000007</v>
      </c>
      <c r="F71" s="2412">
        <v>136.6</v>
      </c>
      <c r="G71" s="2412">
        <v>147.90000000000009</v>
      </c>
    </row>
    <row r="72" spans="1:7" x14ac:dyDescent="0.25">
      <c r="A72" s="2410" t="s">
        <v>933</v>
      </c>
      <c r="B72" s="2415">
        <v>1.9</v>
      </c>
      <c r="C72" s="2415">
        <v>1.5</v>
      </c>
      <c r="D72" s="2415">
        <v>1.9</v>
      </c>
      <c r="E72" s="2415">
        <v>1.5</v>
      </c>
      <c r="F72" s="2415">
        <v>6.6</v>
      </c>
      <c r="G72" s="2415">
        <v>6.2</v>
      </c>
    </row>
    <row r="73" spans="1:7" x14ac:dyDescent="0.25">
      <c r="A73" s="2406" t="s">
        <v>416</v>
      </c>
      <c r="B73" s="2412">
        <v>25.3</v>
      </c>
      <c r="C73" s="2412">
        <v>40</v>
      </c>
      <c r="D73" s="2412">
        <v>25.3</v>
      </c>
      <c r="E73" s="2412">
        <v>40</v>
      </c>
      <c r="F73" s="2412">
        <v>20.6</v>
      </c>
      <c r="G73" s="2412">
        <v>23.9</v>
      </c>
    </row>
    <row r="74" spans="1:7" x14ac:dyDescent="0.25">
      <c r="A74" s="2406"/>
      <c r="B74" s="2412"/>
      <c r="C74" s="2412"/>
      <c r="D74" s="2412"/>
      <c r="E74" s="2412"/>
      <c r="F74" s="2412"/>
      <c r="G74" s="2412"/>
    </row>
    <row r="75" spans="1:7" x14ac:dyDescent="0.25">
      <c r="A75" s="2404" t="s">
        <v>286</v>
      </c>
      <c r="B75" s="2414"/>
      <c r="C75" s="2414"/>
      <c r="D75" s="2414"/>
      <c r="E75" s="2414"/>
      <c r="F75" s="2414"/>
      <c r="G75" s="2414"/>
    </row>
    <row r="76" spans="1:7" x14ac:dyDescent="0.25">
      <c r="A76" s="2406" t="s">
        <v>2</v>
      </c>
      <c r="B76" s="2412">
        <v>609.6</v>
      </c>
      <c r="C76" s="2412">
        <v>639.6</v>
      </c>
      <c r="D76" s="2412">
        <v>609.6</v>
      </c>
      <c r="E76" s="2412">
        <v>639.6</v>
      </c>
      <c r="F76" s="2412">
        <v>2299.8000000000002</v>
      </c>
      <c r="G76" s="2412">
        <v>2329.8000000000002</v>
      </c>
    </row>
    <row r="77" spans="1:7" x14ac:dyDescent="0.25">
      <c r="A77" s="2410" t="s">
        <v>279</v>
      </c>
      <c r="B77" s="2421">
        <v>499</v>
      </c>
      <c r="C77" s="2421">
        <v>492</v>
      </c>
      <c r="D77" s="2421">
        <v>499</v>
      </c>
      <c r="E77" s="2421">
        <v>492</v>
      </c>
      <c r="F77" s="2421">
        <v>500</v>
      </c>
      <c r="G77" s="2421">
        <v>499</v>
      </c>
    </row>
    <row r="78" spans="1:7" x14ac:dyDescent="0.25">
      <c r="A78" s="2406" t="s">
        <v>286</v>
      </c>
      <c r="B78" s="2422">
        <v>1221.6432865731463</v>
      </c>
      <c r="C78" s="2422">
        <v>1300</v>
      </c>
      <c r="D78" s="2422">
        <v>1221.6432865731463</v>
      </c>
      <c r="E78" s="2422">
        <v>1300</v>
      </c>
      <c r="F78" s="2422">
        <v>4599.6000000000004</v>
      </c>
      <c r="G78" s="2422">
        <v>4668.9378757515033</v>
      </c>
    </row>
    <row r="79" spans="1:7" x14ac:dyDescent="0.25">
      <c r="A79" s="2406"/>
      <c r="B79" s="2414"/>
      <c r="C79" s="2414"/>
      <c r="D79" s="2414"/>
      <c r="E79" s="2414"/>
      <c r="F79" s="2414"/>
      <c r="G79" s="2414"/>
    </row>
    <row r="80" spans="1:7" x14ac:dyDescent="0.25">
      <c r="A80" s="2404" t="s">
        <v>934</v>
      </c>
      <c r="B80" s="2414"/>
      <c r="C80" s="2414"/>
      <c r="D80" s="2414"/>
      <c r="E80" s="2414"/>
      <c r="F80" s="2414"/>
      <c r="G80" s="2414"/>
    </row>
    <row r="81" spans="1:7" x14ac:dyDescent="0.25">
      <c r="A81" s="2406" t="s">
        <v>935</v>
      </c>
      <c r="B81" s="2412">
        <v>47.199999999999982</v>
      </c>
      <c r="C81" s="2412">
        <v>58.90000000000007</v>
      </c>
      <c r="D81" s="2412">
        <v>47.199999999999982</v>
      </c>
      <c r="E81" s="2412">
        <v>58.90000000000007</v>
      </c>
      <c r="F81" s="2412">
        <v>130</v>
      </c>
      <c r="G81" s="2412">
        <v>141.7000000000001</v>
      </c>
    </row>
    <row r="82" spans="1:7" x14ac:dyDescent="0.25">
      <c r="A82" s="2410" t="s">
        <v>279</v>
      </c>
      <c r="B82" s="2421">
        <v>499</v>
      </c>
      <c r="C82" s="2421">
        <v>492</v>
      </c>
      <c r="D82" s="2421">
        <v>499</v>
      </c>
      <c r="E82" s="2421">
        <v>492</v>
      </c>
      <c r="F82" s="2421">
        <v>500</v>
      </c>
      <c r="G82" s="2421">
        <v>499</v>
      </c>
    </row>
    <row r="83" spans="1:7" x14ac:dyDescent="0.25">
      <c r="A83" s="2406" t="s">
        <v>934</v>
      </c>
      <c r="B83" s="2423">
        <v>94.58917835671339</v>
      </c>
      <c r="C83" s="2423">
        <v>119.71544715447169</v>
      </c>
      <c r="D83" s="2423">
        <v>94.58917835671339</v>
      </c>
      <c r="E83" s="2423">
        <v>119.71544715447169</v>
      </c>
      <c r="F83" s="2423">
        <v>260</v>
      </c>
      <c r="G83" s="2423">
        <v>283.96793587174369</v>
      </c>
    </row>
    <row r="84" spans="1:7" x14ac:dyDescent="0.25">
      <c r="A84" s="2406"/>
      <c r="B84" s="2423"/>
      <c r="C84" s="2423"/>
      <c r="D84" s="2423"/>
      <c r="E84" s="2423"/>
      <c r="F84" s="2423"/>
      <c r="G84" s="2423"/>
    </row>
    <row r="85" spans="1:7" x14ac:dyDescent="0.25">
      <c r="A85" s="2424" t="s">
        <v>35</v>
      </c>
      <c r="B85" s="2414"/>
      <c r="C85" s="2414"/>
      <c r="D85" s="2414"/>
      <c r="E85" s="2414"/>
      <c r="F85" s="2414"/>
      <c r="G85" s="2414"/>
    </row>
    <row r="86" spans="1:7" x14ac:dyDescent="0.25">
      <c r="A86" s="2406" t="s">
        <v>429</v>
      </c>
      <c r="B86" s="2425"/>
      <c r="C86" s="2425"/>
      <c r="D86" s="2412">
        <v>737.3</v>
      </c>
      <c r="E86" s="2412">
        <v>722.1</v>
      </c>
      <c r="F86" s="2425"/>
      <c r="G86" s="2412">
        <v>714.8</v>
      </c>
    </row>
    <row r="87" spans="1:7" x14ac:dyDescent="0.25">
      <c r="A87" s="2406" t="s">
        <v>346</v>
      </c>
      <c r="B87" s="2425"/>
      <c r="C87" s="2425"/>
      <c r="D87" s="2412">
        <v>14.8</v>
      </c>
      <c r="E87" s="2412">
        <v>13.4</v>
      </c>
      <c r="F87" s="2425"/>
      <c r="G87" s="2412">
        <v>16</v>
      </c>
    </row>
    <row r="88" spans="1:7" x14ac:dyDescent="0.25">
      <c r="A88" s="2410" t="s">
        <v>936</v>
      </c>
      <c r="B88" s="2426"/>
      <c r="C88" s="2426"/>
      <c r="D88" s="2421">
        <v>7399</v>
      </c>
      <c r="E88" s="2421">
        <v>7399</v>
      </c>
      <c r="F88" s="2426"/>
      <c r="G88" s="2421">
        <v>7399</v>
      </c>
    </row>
    <row r="89" spans="1:7" x14ac:dyDescent="0.25">
      <c r="A89" s="2406" t="s">
        <v>35</v>
      </c>
      <c r="B89" s="2425"/>
      <c r="C89" s="2425"/>
      <c r="D89" s="2425">
        <v>97.648330855521024</v>
      </c>
      <c r="E89" s="2425">
        <v>95.783213947830788</v>
      </c>
      <c r="F89" s="2425"/>
      <c r="G89" s="2425">
        <v>94.445195296661709</v>
      </c>
    </row>
    <row r="90" spans="1:7" x14ac:dyDescent="0.25">
      <c r="A90" s="2406"/>
      <c r="B90" s="2425"/>
      <c r="C90" s="2425"/>
      <c r="D90" s="2425"/>
      <c r="E90" s="2425"/>
      <c r="F90" s="2425"/>
      <c r="G90" s="2425"/>
    </row>
    <row r="91" spans="1:7" x14ac:dyDescent="0.25">
      <c r="A91" s="2406"/>
      <c r="B91" s="2425"/>
      <c r="C91" s="2425"/>
      <c r="D91" s="2425"/>
      <c r="E91" s="2425"/>
      <c r="F91" s="2425"/>
      <c r="G91" s="2425"/>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38A59-A608-4752-9F6F-327C676F416A}">
  <sheetPr>
    <tabColor theme="0" tint="-0.499984740745262"/>
  </sheetPr>
  <dimension ref="A1:L129"/>
  <sheetViews>
    <sheetView workbookViewId="0"/>
    <sheetView workbookViewId="1"/>
  </sheetViews>
  <sheetFormatPr defaultColWidth="9.140625" defaultRowHeight="15" outlineLevelRow="1" outlineLevelCol="1" x14ac:dyDescent="0.25"/>
  <cols>
    <col min="1" max="1" width="53.42578125" style="601" customWidth="1"/>
    <col min="2" max="3" width="9.28515625" style="601" customWidth="1" outlineLevel="1"/>
    <col min="4" max="5" width="9.28515625" style="601" customWidth="1"/>
    <col min="6" max="6" width="9.140625" style="601"/>
    <col min="7" max="7" width="11.28515625" style="601" customWidth="1"/>
    <col min="8" max="8" width="48.7109375" style="601" customWidth="1"/>
    <col min="9" max="16384" width="9.140625" style="601"/>
  </cols>
  <sheetData>
    <row r="1" spans="1:9" s="259" customFormat="1" x14ac:dyDescent="0.25">
      <c r="A1" s="536" t="s">
        <v>592</v>
      </c>
      <c r="G1" s="259" t="s">
        <v>0</v>
      </c>
      <c r="H1" s="259">
        <v>43</v>
      </c>
    </row>
    <row r="2" spans="1:9" s="259" customFormat="1" ht="11.25" hidden="1" customHeight="1" outlineLevel="1" x14ac:dyDescent="0.2">
      <c r="A2" s="537"/>
      <c r="B2" s="538" t="str">
        <f>+[2]rapkvart!D87</f>
        <v>Kvartal 2</v>
      </c>
      <c r="C2" s="538" t="str">
        <f>+[2]rapkvart!E87</f>
        <v>Kvartal 2</v>
      </c>
      <c r="D2" s="539" t="str">
        <f>+[2]rapkvart!F87</f>
        <v>Kvartal 1-2</v>
      </c>
      <c r="E2" s="538" t="str">
        <f>+[2]rapkvart!G87</f>
        <v>Kvartal 1-2</v>
      </c>
      <c r="G2" s="259" t="s">
        <v>1</v>
      </c>
      <c r="H2" s="259">
        <v>4</v>
      </c>
    </row>
    <row r="3" spans="1:9" s="259" customFormat="1" ht="9" hidden="1" customHeight="1" outlineLevel="1" x14ac:dyDescent="0.2">
      <c r="A3" s="540"/>
      <c r="B3" s="541">
        <f>+[2]rapkvart!D88</f>
        <v>2026</v>
      </c>
      <c r="C3" s="541">
        <f>+[2]rapkvart!E88</f>
        <v>2025</v>
      </c>
      <c r="D3" s="541">
        <f>+[2]rapkvart!F88</f>
        <v>2026</v>
      </c>
      <c r="E3" s="541">
        <f>+[2]rapkvart!G88</f>
        <v>2025</v>
      </c>
    </row>
    <row r="4" spans="1:9" s="259" customFormat="1" ht="11.1" hidden="1" customHeight="1" outlineLevel="1" x14ac:dyDescent="0.2">
      <c r="A4" s="542" t="s">
        <v>2</v>
      </c>
      <c r="B4" s="543">
        <f>+[2]rapkvart!$D$6</f>
        <v>684.69999999999993</v>
      </c>
      <c r="C4" s="544">
        <f>+[2]rapkvart!$E$6</f>
        <v>671.99999999999989</v>
      </c>
      <c r="D4" s="543">
        <f>+[2]rapkvart!$F$6</f>
        <v>1294.3</v>
      </c>
      <c r="E4" s="544">
        <f>+[2]rapkvart!$G$6</f>
        <v>1311.6</v>
      </c>
    </row>
    <row r="5" spans="1:9" s="259" customFormat="1" ht="9.9499999999999993" hidden="1" customHeight="1" outlineLevel="1" x14ac:dyDescent="0.2">
      <c r="A5" s="545"/>
      <c r="B5" s="546"/>
      <c r="C5" s="546"/>
      <c r="D5" s="546"/>
      <c r="E5" s="547"/>
    </row>
    <row r="6" spans="1:9" s="259" customFormat="1" ht="12.95" hidden="1" customHeight="1" outlineLevel="1" x14ac:dyDescent="0.25">
      <c r="A6" s="548" t="s">
        <v>3</v>
      </c>
      <c r="B6" s="549"/>
      <c r="C6" s="549"/>
      <c r="D6" s="549"/>
      <c r="E6" s="550"/>
    </row>
    <row r="7" spans="1:9" s="259" customFormat="1" ht="12" hidden="1" outlineLevel="1" x14ac:dyDescent="0.2">
      <c r="A7" s="551" t="s">
        <v>4</v>
      </c>
      <c r="B7" s="552">
        <f>+[2]rapkvart!D$183</f>
        <v>0</v>
      </c>
      <c r="C7" s="553">
        <f>+[2]rapkvart!E$183</f>
        <v>0</v>
      </c>
      <c r="D7" s="552">
        <f>+[2]rapkvart!F$183</f>
        <v>0</v>
      </c>
      <c r="E7" s="553">
        <f>+[2]rapkvart!G$183</f>
        <v>0</v>
      </c>
    </row>
    <row r="8" spans="1:9" s="259" customFormat="1" ht="12" hidden="1" outlineLevel="1" x14ac:dyDescent="0.2">
      <c r="A8" s="554" t="s">
        <v>5</v>
      </c>
      <c r="B8" s="555">
        <f>+[2]rapkvart!D$184</f>
        <v>0</v>
      </c>
      <c r="C8" s="556">
        <f>+[2]rapkvart!E$184</f>
        <v>0</v>
      </c>
      <c r="D8" s="555">
        <f>+[2]rapkvart!F$184</f>
        <v>0</v>
      </c>
      <c r="E8" s="556">
        <f>+[2]rapkvart!G$184</f>
        <v>0</v>
      </c>
    </row>
    <row r="9" spans="1:9" s="259" customFormat="1" ht="11.1" hidden="1" customHeight="1" outlineLevel="1" x14ac:dyDescent="0.2">
      <c r="A9" s="557" t="s">
        <v>6</v>
      </c>
      <c r="B9" s="558">
        <f>+[2]rapkvart!$D180</f>
        <v>0</v>
      </c>
      <c r="C9" s="559">
        <f>+[2]rapkvart!$E180</f>
        <v>0</v>
      </c>
      <c r="D9" s="558">
        <f>+[2]rapkvart!$F180</f>
        <v>0</v>
      </c>
      <c r="E9" s="559">
        <f>+[2]rapkvart!$G180</f>
        <v>0</v>
      </c>
    </row>
    <row r="10" spans="1:9" s="259" customFormat="1" ht="11.1" hidden="1" customHeight="1" outlineLevel="1" x14ac:dyDescent="0.2">
      <c r="A10" s="557" t="s">
        <v>7</v>
      </c>
      <c r="B10" s="558">
        <f>+[2]rapkvart!$D181</f>
        <v>0</v>
      </c>
      <c r="C10" s="559">
        <f>+[2]rapkvart!$E181</f>
        <v>0</v>
      </c>
      <c r="D10" s="558">
        <f>+[2]rapkvart!$F181</f>
        <v>0</v>
      </c>
      <c r="E10" s="559">
        <f>+[2]rapkvart!$G181</f>
        <v>0</v>
      </c>
      <c r="G10" s="451"/>
      <c r="H10" s="451"/>
      <c r="I10" s="451"/>
    </row>
    <row r="11" spans="1:9" s="259" customFormat="1" ht="11.1" hidden="1" customHeight="1" outlineLevel="1" x14ac:dyDescent="0.2">
      <c r="A11" s="554" t="s">
        <v>8</v>
      </c>
      <c r="B11" s="555">
        <f>+[2]rapkvart!$D182</f>
        <v>0</v>
      </c>
      <c r="C11" s="556">
        <f>+[2]rapkvart!$E182</f>
        <v>0</v>
      </c>
      <c r="D11" s="555">
        <f>+[2]rapkvart!$F182</f>
        <v>0</v>
      </c>
      <c r="E11" s="556">
        <f>+[2]rapkvart!$G182</f>
        <v>0</v>
      </c>
      <c r="G11" s="451"/>
      <c r="H11" s="451"/>
      <c r="I11" s="451"/>
    </row>
    <row r="12" spans="1:9" s="259" customFormat="1" ht="11.1" hidden="1" customHeight="1" outlineLevel="1" x14ac:dyDescent="0.2">
      <c r="A12" s="560"/>
      <c r="B12" s="546"/>
      <c r="C12" s="546"/>
      <c r="D12" s="546"/>
      <c r="E12" s="547"/>
      <c r="G12" s="451"/>
      <c r="H12" s="451"/>
      <c r="I12" s="451"/>
    </row>
    <row r="13" spans="1:9" s="259" customFormat="1" ht="12.95" hidden="1" customHeight="1" outlineLevel="1" x14ac:dyDescent="0.2">
      <c r="A13" s="561"/>
      <c r="B13" s="538" t="str">
        <f>+B2</f>
        <v>Kvartal 2</v>
      </c>
      <c r="C13" s="538" t="str">
        <f t="shared" ref="C13:E13" si="0">+C2</f>
        <v>Kvartal 2</v>
      </c>
      <c r="D13" s="538" t="str">
        <f t="shared" si="0"/>
        <v>Kvartal 1-2</v>
      </c>
      <c r="E13" s="538" t="str">
        <f t="shared" si="0"/>
        <v>Kvartal 1-2</v>
      </c>
    </row>
    <row r="14" spans="1:9" s="259" customFormat="1" ht="12.95" hidden="1" customHeight="1" outlineLevel="1" x14ac:dyDescent="0.25">
      <c r="A14" s="562" t="s">
        <v>9</v>
      </c>
      <c r="B14" s="541">
        <f>+B3</f>
        <v>2026</v>
      </c>
      <c r="C14" s="541">
        <f t="shared" ref="C14:E14" si="1">+C3</f>
        <v>2025</v>
      </c>
      <c r="D14" s="541">
        <f t="shared" si="1"/>
        <v>2026</v>
      </c>
      <c r="E14" s="541">
        <f t="shared" si="1"/>
        <v>2025</v>
      </c>
    </row>
    <row r="15" spans="1:9" s="259" customFormat="1" ht="12" hidden="1" customHeight="1" outlineLevel="1" x14ac:dyDescent="0.2">
      <c r="A15" s="563" t="s">
        <v>10</v>
      </c>
      <c r="B15" s="564">
        <f>+[2]rapkvart!D$144</f>
        <v>114.10000000000005</v>
      </c>
      <c r="C15" s="565">
        <f>+[2]rapkvart!E$144</f>
        <v>63.199999999999847</v>
      </c>
      <c r="D15" s="564">
        <f>+[2]rapkvart!F$144</f>
        <v>186.50000000000006</v>
      </c>
      <c r="E15" s="565">
        <f>+[2]rapkvart!G$144</f>
        <v>142.59999999999991</v>
      </c>
    </row>
    <row r="16" spans="1:9" s="259" customFormat="1" ht="12" hidden="1" customHeight="1" outlineLevel="1" x14ac:dyDescent="0.2">
      <c r="A16" s="551" t="s">
        <v>11</v>
      </c>
      <c r="B16" s="564">
        <f>+[2]rapkvart!D$14</f>
        <v>92.400000000000063</v>
      </c>
      <c r="C16" s="565">
        <f>+[2]rapkvart!E$14</f>
        <v>40.399999999999849</v>
      </c>
      <c r="D16" s="564">
        <f>+[2]rapkvart!F$14</f>
        <v>142.80000000000004</v>
      </c>
      <c r="E16" s="565">
        <f>+[2]rapkvart!G$14</f>
        <v>97.89999999999992</v>
      </c>
    </row>
    <row r="17" spans="1:9" s="259" customFormat="1" ht="11.1" hidden="1" customHeight="1" outlineLevel="1" x14ac:dyDescent="0.2">
      <c r="A17" s="566" t="s">
        <v>12</v>
      </c>
      <c r="B17" s="543">
        <f>+[2]rapkvart!D$27</f>
        <v>70.000000000000071</v>
      </c>
      <c r="C17" s="544">
        <f>+[2]rapkvart!E$27</f>
        <v>18.099999999999856</v>
      </c>
      <c r="D17" s="543">
        <f>+[2]rapkvart!F$27</f>
        <v>104.00000000000004</v>
      </c>
      <c r="E17" s="544">
        <f>+[2]rapkvart!G$27</f>
        <v>61.499999999999915</v>
      </c>
    </row>
    <row r="18" spans="1:9" s="259" customFormat="1" ht="11.1" hidden="1" customHeight="1" outlineLevel="1" x14ac:dyDescent="0.2">
      <c r="A18" s="566" t="s">
        <v>13</v>
      </c>
      <c r="B18" s="543">
        <f>+[2]rapkvart!D$35</f>
        <v>9.25</v>
      </c>
      <c r="C18" s="544">
        <f>+[2]rapkvart!E$35</f>
        <v>2.2599999999999998</v>
      </c>
      <c r="D18" s="543">
        <f>+[2]rapkvart!F$35</f>
        <v>13.7</v>
      </c>
      <c r="E18" s="544">
        <f>+[2]rapkvart!G$35</f>
        <v>7.91</v>
      </c>
      <c r="I18" s="567"/>
    </row>
    <row r="19" spans="1:9" s="259" customFormat="1" ht="11.1" hidden="1" customHeight="1" outlineLevel="1" x14ac:dyDescent="0.2">
      <c r="A19" s="566" t="s">
        <v>14</v>
      </c>
      <c r="B19" s="543">
        <f>+[2]rapkvart!D$174</f>
        <v>-8.9999999999999858E-2</v>
      </c>
      <c r="C19" s="544">
        <f>+[2]rapkvart!E$174</f>
        <v>-1.0200000000000014</v>
      </c>
      <c r="D19" s="543">
        <f>+[2]rapkvart!F$174</f>
        <v>-0.46000000000000085</v>
      </c>
      <c r="E19" s="544">
        <f>+[2]rapkvart!G$174</f>
        <v>-1.3900000000000006</v>
      </c>
      <c r="G19" s="451"/>
      <c r="H19" s="451"/>
      <c r="I19" s="451"/>
    </row>
    <row r="20" spans="1:9" s="259" customFormat="1" ht="9.9499999999999993" hidden="1" customHeight="1" outlineLevel="1" x14ac:dyDescent="0.2">
      <c r="A20" s="568"/>
      <c r="B20" s="569"/>
      <c r="C20" s="569"/>
      <c r="D20" s="569"/>
      <c r="E20" s="570"/>
    </row>
    <row r="21" spans="1:9" s="259" customFormat="1" ht="12.95" hidden="1" customHeight="1" outlineLevel="1" x14ac:dyDescent="0.25">
      <c r="A21" s="571" t="s">
        <v>15</v>
      </c>
      <c r="B21" s="572"/>
      <c r="C21" s="572"/>
      <c r="D21" s="572"/>
      <c r="E21" s="573"/>
    </row>
    <row r="22" spans="1:9" s="259" customFormat="1" ht="12" hidden="1" outlineLevel="1" x14ac:dyDescent="0.2">
      <c r="A22" s="574" t="s">
        <v>16</v>
      </c>
      <c r="B22" s="575" t="s">
        <v>17</v>
      </c>
      <c r="C22" s="576" t="s">
        <v>17</v>
      </c>
      <c r="D22" s="575">
        <f>+[2]rapkvart!$F$156</f>
        <v>104</v>
      </c>
      <c r="E22" s="576">
        <f>+[2]rapkvart!$G$156</f>
        <v>116</v>
      </c>
    </row>
    <row r="23" spans="1:9" s="259" customFormat="1" ht="12" hidden="1" outlineLevel="1" x14ac:dyDescent="0.2">
      <c r="A23" s="577" t="s">
        <v>18</v>
      </c>
      <c r="B23" s="558" t="s">
        <v>17</v>
      </c>
      <c r="C23" s="559" t="s">
        <v>17</v>
      </c>
      <c r="D23" s="558">
        <f>+[2]rapkvart!$H$144</f>
        <v>281.2</v>
      </c>
      <c r="E23" s="559">
        <v>252.2</v>
      </c>
      <c r="G23" s="578" t="s">
        <v>19</v>
      </c>
      <c r="H23" s="578"/>
      <c r="I23" s="578"/>
    </row>
    <row r="24" spans="1:9" s="259" customFormat="1" ht="12" hidden="1" outlineLevel="1" x14ac:dyDescent="0.2">
      <c r="A24" s="577" t="s">
        <v>20</v>
      </c>
      <c r="B24" s="558" t="s">
        <v>17</v>
      </c>
      <c r="C24" s="559" t="s">
        <v>17</v>
      </c>
      <c r="D24" s="558">
        <f>+[2]rapkvart!$F$157</f>
        <v>0.4</v>
      </c>
      <c r="E24" s="559">
        <f>+[2]rapkvart!$G$157</f>
        <v>0.5</v>
      </c>
    </row>
    <row r="25" spans="1:9" s="259" customFormat="1" ht="9.9499999999999993" hidden="1" customHeight="1" outlineLevel="1" x14ac:dyDescent="0.2">
      <c r="A25" s="579" t="s">
        <v>21</v>
      </c>
      <c r="B25" s="555" t="s">
        <v>17</v>
      </c>
      <c r="C25" s="556" t="s">
        <v>17</v>
      </c>
      <c r="D25" s="555">
        <f>+[2]rapkvart!$F$155</f>
        <v>196.5</v>
      </c>
      <c r="E25" s="556">
        <f>+[2]rapkvart!$G$155</f>
        <v>203</v>
      </c>
    </row>
    <row r="26" spans="1:9" s="259" customFormat="1" ht="6" hidden="1" customHeight="1" outlineLevel="1" x14ac:dyDescent="0.2">
      <c r="B26" s="580"/>
      <c r="C26" s="580"/>
      <c r="D26" s="580"/>
      <c r="E26" s="580"/>
    </row>
    <row r="27" spans="1:9" s="259" customFormat="1" ht="13.5" hidden="1" customHeight="1" outlineLevel="1" x14ac:dyDescent="0.15"/>
    <row r="28" spans="1:9" s="259" customFormat="1" ht="13.5" hidden="1" customHeight="1" outlineLevel="1" x14ac:dyDescent="0.15"/>
    <row r="29" spans="1:9" s="259" customFormat="1" ht="13.5" hidden="1" customHeight="1" outlineLevel="1" x14ac:dyDescent="0.15"/>
    <row r="30" spans="1:9" s="259" customFormat="1" ht="13.5" hidden="1" customHeight="1" outlineLevel="1" x14ac:dyDescent="0.15"/>
    <row r="31" spans="1:9" s="259" customFormat="1" ht="13.5" customHeight="1" collapsed="1" x14ac:dyDescent="0.15"/>
    <row r="32" spans="1:9" s="259" customFormat="1" x14ac:dyDescent="0.25">
      <c r="A32" s="536" t="s">
        <v>592</v>
      </c>
    </row>
    <row r="33" spans="1:9" s="259" customFormat="1" ht="11.25" hidden="1" customHeight="1" outlineLevel="1" x14ac:dyDescent="0.2">
      <c r="A33" s="537"/>
      <c r="B33" s="539" t="str">
        <f>+B2</f>
        <v>Kvartal 2</v>
      </c>
      <c r="C33" s="538" t="str">
        <f>+C2</f>
        <v>Kvartal 2</v>
      </c>
      <c r="D33" s="538" t="str">
        <f t="shared" ref="D33:E33" si="2">+D2</f>
        <v>Kvartal 1-2</v>
      </c>
      <c r="E33" s="538" t="str">
        <f t="shared" si="2"/>
        <v>Kvartal 1-2</v>
      </c>
      <c r="G33" s="259" t="s">
        <v>1</v>
      </c>
      <c r="H33" s="259">
        <v>4</v>
      </c>
    </row>
    <row r="34" spans="1:9" s="259" customFormat="1" ht="9" hidden="1" customHeight="1" outlineLevel="1" x14ac:dyDescent="0.2">
      <c r="A34" s="581"/>
      <c r="B34" s="582">
        <f>+B3</f>
        <v>2026</v>
      </c>
      <c r="C34" s="582">
        <f t="shared" ref="C34:E34" si="3">+C3</f>
        <v>2025</v>
      </c>
      <c r="D34" s="582">
        <f t="shared" si="3"/>
        <v>2026</v>
      </c>
      <c r="E34" s="582">
        <f t="shared" si="3"/>
        <v>2025</v>
      </c>
    </row>
    <row r="35" spans="1:9" s="259" customFormat="1" ht="11.1" hidden="1" customHeight="1" outlineLevel="1" x14ac:dyDescent="0.2">
      <c r="A35" s="583" t="s">
        <v>2</v>
      </c>
      <c r="B35" s="584">
        <f>+B4</f>
        <v>684.69999999999993</v>
      </c>
      <c r="C35" s="585">
        <f t="shared" ref="C35:E35" si="4">+C4</f>
        <v>671.99999999999989</v>
      </c>
      <c r="D35" s="584">
        <f t="shared" si="4"/>
        <v>1294.3</v>
      </c>
      <c r="E35" s="585">
        <f t="shared" si="4"/>
        <v>1311.6</v>
      </c>
    </row>
    <row r="36" spans="1:9" s="259" customFormat="1" ht="11.25" hidden="1" outlineLevel="1" x14ac:dyDescent="0.2">
      <c r="A36" s="586" t="s">
        <v>24</v>
      </c>
      <c r="B36" s="584" t="e">
        <f>+'Koncern Nyckeltal - EJ ANVÄNDA'!#REF!</f>
        <v>#REF!</v>
      </c>
      <c r="C36" s="585" t="e">
        <f>+'Koncern Nyckeltal - EJ ANVÄNDA'!#REF!</f>
        <v>#REF!</v>
      </c>
      <c r="D36" s="584">
        <f>+[2]rapkvart!$H$144</f>
        <v>281.2</v>
      </c>
      <c r="E36" s="585">
        <v>252.2</v>
      </c>
      <c r="G36" s="578" t="s">
        <v>19</v>
      </c>
      <c r="H36" s="578"/>
      <c r="I36" s="578"/>
    </row>
    <row r="37" spans="1:9" s="259" customFormat="1" ht="11.25" hidden="1" outlineLevel="1" x14ac:dyDescent="0.2">
      <c r="A37" s="587" t="s">
        <v>25</v>
      </c>
      <c r="B37" s="588">
        <f t="shared" ref="B37:C37" si="5">SUM(B9:B10)</f>
        <v>0</v>
      </c>
      <c r="C37" s="589">
        <f t="shared" si="5"/>
        <v>0</v>
      </c>
      <c r="D37" s="588">
        <f>SUM(D9:D10)</f>
        <v>0</v>
      </c>
      <c r="E37" s="589">
        <f>SUM(E9:E10)</f>
        <v>0</v>
      </c>
      <c r="G37" s="578" t="s">
        <v>19</v>
      </c>
      <c r="H37" s="578"/>
      <c r="I37" s="578"/>
    </row>
    <row r="38" spans="1:9" s="259" customFormat="1" ht="9.9499999999999993" hidden="1" customHeight="1" outlineLevel="1" x14ac:dyDescent="0.2">
      <c r="A38" s="545"/>
      <c r="B38" s="546"/>
      <c r="C38" s="546"/>
      <c r="D38" s="546"/>
      <c r="E38" s="547"/>
    </row>
    <row r="39" spans="1:9" s="259" customFormat="1" ht="12.95" hidden="1" customHeight="1" outlineLevel="1" x14ac:dyDescent="0.25">
      <c r="A39" s="590"/>
      <c r="B39" s="2500" t="s">
        <v>3</v>
      </c>
      <c r="C39" s="2501"/>
      <c r="D39" s="2502" t="s">
        <v>26</v>
      </c>
      <c r="E39" s="2503"/>
    </row>
    <row r="40" spans="1:9" s="259" customFormat="1" ht="12.95" hidden="1" customHeight="1" outlineLevel="1" x14ac:dyDescent="0.25">
      <c r="A40" s="591" t="s">
        <v>22</v>
      </c>
      <c r="B40" s="541">
        <f>+B34</f>
        <v>2026</v>
      </c>
      <c r="C40" s="541">
        <f>+C34</f>
        <v>2025</v>
      </c>
      <c r="D40" s="541">
        <f>+D34</f>
        <v>2026</v>
      </c>
      <c r="E40" s="541">
        <f>+E34</f>
        <v>2025</v>
      </c>
    </row>
    <row r="41" spans="1:9" s="259" customFormat="1" ht="11.1" hidden="1" customHeight="1" outlineLevel="1" x14ac:dyDescent="0.2">
      <c r="A41" s="592" t="s">
        <v>27</v>
      </c>
      <c r="B41" s="584">
        <f>+'Koncern RR - EJ ANVÄNDA'!C70</f>
        <v>50.637350000000019</v>
      </c>
      <c r="C41" s="585">
        <f>+'Koncern RR - EJ ANVÄNDA'!D70</f>
        <v>8.1583499999998725</v>
      </c>
      <c r="D41" s="593"/>
      <c r="E41" s="593"/>
    </row>
    <row r="42" spans="1:9" s="259" customFormat="1" ht="11.1" hidden="1" customHeight="1" outlineLevel="1" x14ac:dyDescent="0.2">
      <c r="A42" s="592" t="s">
        <v>28</v>
      </c>
      <c r="B42" s="584">
        <f>+'Koncern RR - EJ ANVÄNDA'!C79</f>
        <v>6.6412818338170867</v>
      </c>
      <c r="C42" s="585">
        <f>+'Koncern RR - EJ ANVÄNDA'!D79</f>
        <v>0.91344175218193169</v>
      </c>
      <c r="D42" s="593"/>
      <c r="E42" s="593"/>
    </row>
    <row r="43" spans="1:9" s="259" customFormat="1" ht="11.1" hidden="1" customHeight="1" outlineLevel="1" x14ac:dyDescent="0.2">
      <c r="A43" s="592" t="s">
        <v>29</v>
      </c>
      <c r="B43" s="584">
        <v>-3</v>
      </c>
      <c r="C43" s="585">
        <v>-3.5</v>
      </c>
      <c r="D43" s="593"/>
      <c r="E43" s="593"/>
    </row>
    <row r="44" spans="1:9" s="259" customFormat="1" ht="11.1" hidden="1" customHeight="1" outlineLevel="1" x14ac:dyDescent="0.2">
      <c r="A44" s="592" t="s">
        <v>30</v>
      </c>
      <c r="B44" s="584">
        <f>+'Koncern RR - EJ ANVÄNDA'!C74</f>
        <v>53.837350000000022</v>
      </c>
      <c r="C44" s="585">
        <f>+'Koncern RR - EJ ANVÄNDA'!D74</f>
        <v>-1.1416500000001264</v>
      </c>
      <c r="D44" s="593"/>
      <c r="E44" s="593"/>
      <c r="G44" s="451"/>
      <c r="H44" s="451"/>
      <c r="I44" s="451"/>
    </row>
    <row r="45" spans="1:9" s="259" customFormat="1" ht="11.1" hidden="1" customHeight="1" outlineLevel="1" x14ac:dyDescent="0.2">
      <c r="A45" s="592" t="s">
        <v>31</v>
      </c>
      <c r="B45" s="584">
        <f>+'Koncern RR - EJ ANVÄNDA'!C81</f>
        <v>7.073785863200329</v>
      </c>
      <c r="C45" s="585">
        <f>+'Koncern RR - EJ ANVÄNDA'!D81</f>
        <v>-0.34352308321311675</v>
      </c>
      <c r="D45" s="593"/>
      <c r="E45" s="593"/>
      <c r="G45" s="451"/>
      <c r="H45" s="451"/>
      <c r="I45" s="451"/>
    </row>
    <row r="46" spans="1:9" s="259" customFormat="1" ht="11.1" hidden="1" customHeight="1" outlineLevel="1" x14ac:dyDescent="0.2">
      <c r="A46" s="594" t="s">
        <v>33</v>
      </c>
      <c r="B46" s="595">
        <v>-7.3</v>
      </c>
      <c r="C46" s="596">
        <v>-3.5</v>
      </c>
      <c r="D46" s="593"/>
      <c r="E46" s="593"/>
    </row>
    <row r="47" spans="1:9" s="259" customFormat="1" ht="3" hidden="1" customHeight="1" outlineLevel="1" x14ac:dyDescent="0.2">
      <c r="A47" s="597"/>
      <c r="B47" s="552"/>
      <c r="C47" s="553"/>
      <c r="D47" s="552"/>
      <c r="E47" s="553"/>
    </row>
    <row r="48" spans="1:9" s="259" customFormat="1" ht="12" hidden="1" customHeight="1" outlineLevel="1" x14ac:dyDescent="0.25">
      <c r="A48" s="591" t="s">
        <v>32</v>
      </c>
      <c r="B48" s="582">
        <f>+B34</f>
        <v>2026</v>
      </c>
      <c r="C48" s="582">
        <f t="shared" ref="C48:E48" si="6">+C34</f>
        <v>2025</v>
      </c>
      <c r="D48" s="582">
        <f t="shared" si="6"/>
        <v>2026</v>
      </c>
      <c r="E48" s="582">
        <f t="shared" si="6"/>
        <v>2025</v>
      </c>
    </row>
    <row r="49" spans="1:12" s="259" customFormat="1" ht="11.1" hidden="1" customHeight="1" outlineLevel="1" x14ac:dyDescent="0.2">
      <c r="A49" s="592" t="s">
        <v>27</v>
      </c>
      <c r="B49" s="584">
        <f>+'Koncern RR - EJ ANVÄNDA'!E70</f>
        <v>34.5432249449549</v>
      </c>
      <c r="C49" s="585">
        <f>+'Koncern RR - EJ ANVÄNDA'!F70</f>
        <v>26.782659005595001</v>
      </c>
      <c r="D49" s="584">
        <f>+'Koncern RR - EJ ANVÄNDA'!E21</f>
        <v>107.40000000000003</v>
      </c>
      <c r="E49" s="585">
        <f>+'Koncern RR - EJ ANVÄNDA'!F21</f>
        <v>71.699999999999918</v>
      </c>
    </row>
    <row r="50" spans="1:12" s="259" customFormat="1" ht="11.1" hidden="1" customHeight="1" outlineLevel="1" x14ac:dyDescent="0.2">
      <c r="A50" s="592" t="s">
        <v>28</v>
      </c>
      <c r="B50" s="584">
        <f>+'Koncern RR - EJ ANVÄNDA'!E79</f>
        <v>4.0470517004443227</v>
      </c>
      <c r="C50" s="585">
        <f>+'Koncern RR - EJ ANVÄNDA'!F79</f>
        <v>2.7554007322683298</v>
      </c>
      <c r="D50" s="584">
        <f>+'Koncern RR - EJ ANVÄNDA'!E31</f>
        <v>14.16</v>
      </c>
      <c r="E50" s="585">
        <f>+'Koncern RR - EJ ANVÄNDA'!F31</f>
        <v>9.3000000000000007</v>
      </c>
      <c r="I50" s="567"/>
    </row>
    <row r="51" spans="1:12" s="259" customFormat="1" ht="11.1" hidden="1" customHeight="1" outlineLevel="1" x14ac:dyDescent="0.2">
      <c r="A51" s="592" t="s">
        <v>29</v>
      </c>
      <c r="B51" s="584">
        <v>2</v>
      </c>
      <c r="C51" s="585">
        <v>1.5</v>
      </c>
      <c r="D51" s="584">
        <v>17.600000000000001</v>
      </c>
      <c r="E51" s="585" t="e">
        <f>+'Koncern Nyckeltal - EJ ANVÄNDA'!#REF!</f>
        <v>#REF!</v>
      </c>
      <c r="G51" s="451"/>
      <c r="H51" s="451"/>
      <c r="I51" s="451"/>
    </row>
    <row r="52" spans="1:12" s="259" customFormat="1" ht="11.1" hidden="1" customHeight="1" outlineLevel="1" x14ac:dyDescent="0.2">
      <c r="A52" s="592" t="s">
        <v>30</v>
      </c>
      <c r="B52" s="584">
        <f>+'Koncern RR - EJ ANVÄNDA'!E74</f>
        <v>2.4280249449549434</v>
      </c>
      <c r="C52" s="585">
        <f>+'Koncern RR - EJ ANVÄNDA'!F74</f>
        <v>26.782659005595001</v>
      </c>
      <c r="D52" s="584">
        <f>+'Koncern RR - EJ ANVÄNDA'!E25</f>
        <v>104.00000000000004</v>
      </c>
      <c r="E52" s="585">
        <f>+'Koncern RR - EJ ANVÄNDA'!F25</f>
        <v>61.499999999999915</v>
      </c>
    </row>
    <row r="53" spans="1:12" s="259" customFormat="1" ht="11.1" hidden="1" customHeight="1" outlineLevel="1" x14ac:dyDescent="0.2">
      <c r="A53" s="592" t="s">
        <v>31</v>
      </c>
      <c r="B53" s="584">
        <f>+'Koncern RR - EJ ANVÄNDA'!E81</f>
        <v>-0.29355873844589908</v>
      </c>
      <c r="C53" s="585">
        <f>+'Koncern RR - EJ ANVÄNDA'!F81</f>
        <v>2.7554007322683298</v>
      </c>
      <c r="D53" s="584">
        <f>+'Koncern RR - EJ ANVÄNDA'!E33</f>
        <v>13.7</v>
      </c>
      <c r="E53" s="585">
        <f>+'Koncern RR - EJ ANVÄNDA'!F33</f>
        <v>7.91</v>
      </c>
    </row>
    <row r="54" spans="1:12" s="259" customFormat="1" ht="11.1" hidden="1" customHeight="1" outlineLevel="1" x14ac:dyDescent="0.2">
      <c r="A54" s="592" t="s">
        <v>33</v>
      </c>
      <c r="B54" s="584">
        <v>-0.3</v>
      </c>
      <c r="C54" s="585">
        <v>1.5</v>
      </c>
      <c r="D54" s="584" t="e">
        <f>+'Koncern Nyckeltal - EJ ANVÄNDA'!#REF!</f>
        <v>#REF!</v>
      </c>
      <c r="E54" s="585" t="e">
        <f>+'Koncern Nyckeltal - EJ ANVÄNDA'!#REF!</f>
        <v>#REF!</v>
      </c>
    </row>
    <row r="55" spans="1:12" s="259" customFormat="1" ht="11.1" hidden="1" customHeight="1" outlineLevel="1" x14ac:dyDescent="0.2">
      <c r="A55" s="592"/>
      <c r="B55" s="582">
        <v>46022</v>
      </c>
      <c r="C55" s="582">
        <v>45657</v>
      </c>
      <c r="D55" s="582">
        <v>46022</v>
      </c>
      <c r="E55" s="582">
        <v>45657</v>
      </c>
    </row>
    <row r="56" spans="1:12" s="259" customFormat="1" ht="11.1" hidden="1" customHeight="1" outlineLevel="1" x14ac:dyDescent="0.2">
      <c r="A56" s="586" t="s">
        <v>34</v>
      </c>
      <c r="B56" s="584">
        <f>+'Koncern BR - KONCERN ANVÄNDA'!C57</f>
        <v>1427.4738886378877</v>
      </c>
      <c r="C56" s="585">
        <f>+'Koncern BR - KONCERN ANVÄNDA'!D57</f>
        <v>1386.2738886378875</v>
      </c>
      <c r="D56" s="584">
        <f>+'Koncern BR - KONCERN ANVÄNDA'!C19</f>
        <v>794.7</v>
      </c>
      <c r="E56" s="585">
        <f>+'Koncern BR - KONCERN ANVÄNDA'!D19</f>
        <v>681.69999999999993</v>
      </c>
    </row>
    <row r="57" spans="1:12" s="259" customFormat="1" ht="11.1" hidden="1" customHeight="1" outlineLevel="1" x14ac:dyDescent="0.2">
      <c r="A57" s="592" t="s">
        <v>35</v>
      </c>
      <c r="B57" s="584">
        <v>192.93</v>
      </c>
      <c r="C57" s="585">
        <v>187.37</v>
      </c>
      <c r="D57" s="584">
        <f>+'Koncern Nyckeltal - EJ ANVÄNDA'!D66</f>
        <v>107.42</v>
      </c>
      <c r="E57" s="585">
        <f>+'Koncern Nyckeltal - EJ ANVÄNDA'!E66</f>
        <v>92.5</v>
      </c>
    </row>
    <row r="58" spans="1:12" ht="11.1" hidden="1" customHeight="1" outlineLevel="1" x14ac:dyDescent="0.25">
      <c r="A58" s="598"/>
      <c r="B58" s="599"/>
      <c r="C58" s="600"/>
      <c r="D58" s="599"/>
      <c r="E58" s="600"/>
    </row>
    <row r="59" spans="1:12" ht="11.1" hidden="1" customHeight="1" outlineLevel="1" x14ac:dyDescent="0.25">
      <c r="A59" s="602"/>
      <c r="B59" s="603"/>
      <c r="C59" s="243"/>
      <c r="D59" s="603"/>
      <c r="E59" s="243"/>
    </row>
    <row r="60" spans="1:12" ht="11.1" customHeight="1" collapsed="1" x14ac:dyDescent="0.25">
      <c r="A60" s="602"/>
      <c r="B60" s="603"/>
      <c r="C60" s="243"/>
      <c r="D60" s="603"/>
      <c r="E60" s="243"/>
    </row>
    <row r="61" spans="1:12" x14ac:dyDescent="0.25">
      <c r="A61" s="536" t="s">
        <v>593</v>
      </c>
      <c r="H61" s="536" t="s">
        <v>528</v>
      </c>
    </row>
    <row r="62" spans="1:12" x14ac:dyDescent="0.25">
      <c r="A62" s="604" t="s">
        <v>206</v>
      </c>
      <c r="B62" s="605" t="str">
        <f>+'Bullettabell KOPIA ta bort'!B2</f>
        <v>Kvartal 2</v>
      </c>
      <c r="C62" s="606"/>
      <c r="D62" s="605" t="s">
        <v>32</v>
      </c>
      <c r="E62" s="606"/>
      <c r="H62" s="2498" t="s">
        <v>594</v>
      </c>
      <c r="I62" s="2494" t="s">
        <v>524</v>
      </c>
      <c r="J62" s="2495"/>
      <c r="K62" s="2494" t="s">
        <v>525</v>
      </c>
      <c r="L62" s="2495"/>
    </row>
    <row r="63" spans="1:12" ht="11.25" customHeight="1" x14ac:dyDescent="0.25">
      <c r="A63" s="608"/>
      <c r="B63" s="609">
        <f>+'Bullettabell KOPIA ta bort'!B3</f>
        <v>2026</v>
      </c>
      <c r="C63" s="609">
        <f>+'Bullettabell KOPIA ta bort'!C3</f>
        <v>2025</v>
      </c>
      <c r="D63" s="609">
        <f>+'Bullettabell KOPIA ta bort'!D3</f>
        <v>2026</v>
      </c>
      <c r="E63" s="609">
        <f>+'Bullettabell KOPIA ta bort'!E3</f>
        <v>2025</v>
      </c>
      <c r="H63" s="2499"/>
      <c r="I63" s="609">
        <v>2025</v>
      </c>
      <c r="J63" s="609">
        <v>2024</v>
      </c>
      <c r="K63" s="609">
        <v>2025</v>
      </c>
      <c r="L63" s="609">
        <v>2024</v>
      </c>
    </row>
    <row r="64" spans="1:12" ht="12.75" customHeight="1" x14ac:dyDescent="0.25">
      <c r="A64" s="283" t="s">
        <v>2</v>
      </c>
      <c r="B64" s="610">
        <f>+'Bullettabell KOPIA ta bort'!B4</f>
        <v>684.69999999999993</v>
      </c>
      <c r="C64" s="284">
        <f>+'Bullettabell KOPIA ta bort'!C4</f>
        <v>671.99999999999989</v>
      </c>
      <c r="D64" s="610">
        <f>+'Bullettabell KOPIA ta bort'!D4</f>
        <v>1294.3</v>
      </c>
      <c r="E64" s="284">
        <f>+'Bullettabell KOPIA ta bort'!E4</f>
        <v>1311.6</v>
      </c>
      <c r="H64" s="283" t="str">
        <f>'Koncern Nyckeltal - EJ ANVÄNDA'!L4</f>
        <v>Net turnover</v>
      </c>
      <c r="I64" s="610">
        <v>520.40000000000009</v>
      </c>
      <c r="J64" s="284">
        <v>579.50000000000023</v>
      </c>
      <c r="K64" s="610">
        <v>2329.8000000000002</v>
      </c>
      <c r="L64" s="284">
        <v>2271.8000000000002</v>
      </c>
    </row>
    <row r="65" spans="1:12" ht="15" customHeight="1" x14ac:dyDescent="0.25">
      <c r="A65" s="611" t="s">
        <v>24</v>
      </c>
      <c r="B65" s="612">
        <f>'Koncern Nyckeltal - EJ ANVÄNDA'!B5</f>
        <v>43.400000000000091</v>
      </c>
      <c r="C65" s="293">
        <f>'Koncern Nyckeltal - EJ ANVÄNDA'!C5</f>
        <v>50.600000000000229</v>
      </c>
      <c r="D65" s="612">
        <f>+[2]rapkvart!$H$144</f>
        <v>281.2</v>
      </c>
      <c r="E65" s="293">
        <v>252.2</v>
      </c>
      <c r="H65" s="613" t="str">
        <f>'Koncern Nyckeltal - EJ ANVÄNDA'!L5</f>
        <v>EBITDA</v>
      </c>
      <c r="I65" s="612">
        <v>43.400000000000091</v>
      </c>
      <c r="J65" s="293">
        <v>50.600000000000229</v>
      </c>
      <c r="K65" s="612">
        <v>237.30000000000013</v>
      </c>
      <c r="L65" s="293">
        <v>252.2</v>
      </c>
    </row>
    <row r="66" spans="1:12" ht="6.75" customHeight="1" x14ac:dyDescent="0.25">
      <c r="A66" s="304"/>
      <c r="B66" s="255"/>
      <c r="C66" s="255"/>
      <c r="D66" s="255"/>
      <c r="E66" s="255"/>
      <c r="H66" s="305"/>
      <c r="I66" s="255"/>
      <c r="J66" s="255"/>
      <c r="K66" s="255"/>
      <c r="L66" s="255"/>
    </row>
    <row r="67" spans="1:12" ht="12" customHeight="1" x14ac:dyDescent="0.25">
      <c r="A67" s="604" t="s">
        <v>236</v>
      </c>
      <c r="B67" s="605" t="str">
        <f>B80</f>
        <v>Kvartal 2</v>
      </c>
      <c r="C67" s="606"/>
      <c r="D67" s="605" t="str">
        <f>D80</f>
        <v>Helår</v>
      </c>
      <c r="E67" s="606"/>
      <c r="F67" s="614"/>
      <c r="H67" s="615" t="s">
        <v>595</v>
      </c>
      <c r="I67" s="2494" t="s">
        <v>524</v>
      </c>
      <c r="J67" s="2495"/>
      <c r="K67" s="2494" t="s">
        <v>525</v>
      </c>
      <c r="L67" s="2495"/>
    </row>
    <row r="68" spans="1:12" ht="12" customHeight="1" x14ac:dyDescent="0.25">
      <c r="A68" s="608"/>
      <c r="B68" s="616">
        <f>B81</f>
        <v>2026</v>
      </c>
      <c r="C68" s="609">
        <f>C81</f>
        <v>2025</v>
      </c>
      <c r="D68" s="609">
        <f>D81</f>
        <v>2026</v>
      </c>
      <c r="E68" s="609">
        <f>E81</f>
        <v>2025</v>
      </c>
      <c r="F68" s="614"/>
      <c r="H68" s="617"/>
      <c r="I68" s="616">
        <v>2025</v>
      </c>
      <c r="J68" s="609">
        <v>2024</v>
      </c>
      <c r="K68" s="609">
        <v>2025</v>
      </c>
      <c r="L68" s="609">
        <v>2024</v>
      </c>
    </row>
    <row r="69" spans="1:12" ht="12" customHeight="1" x14ac:dyDescent="0.25">
      <c r="A69" s="357" t="s">
        <v>248</v>
      </c>
      <c r="B69" s="610">
        <f>'Koncern RR - EJ ANVÄNDA'!C64</f>
        <v>68.075000000000017</v>
      </c>
      <c r="C69" s="284">
        <f>'Koncern RR - EJ ANVÄNDA'!D64</f>
        <v>16.074999999999839</v>
      </c>
      <c r="D69" s="610">
        <f>'Koncern RR - EJ ANVÄNDA'!E64</f>
        <v>51.311070112834841</v>
      </c>
      <c r="E69" s="284">
        <f>'Koncern RR - EJ ANVÄNDA'!F64</f>
        <v>63.463814370000001</v>
      </c>
      <c r="F69" s="614"/>
      <c r="H69" s="618" t="str">
        <f>'Koncern Nyckeltal - EJ ANVÄNDA'!L22</f>
        <v>Operating income/loss, MSEK</v>
      </c>
      <c r="I69" s="610">
        <v>-2.7249999999998948</v>
      </c>
      <c r="J69" s="284">
        <f t="shared" ref="J69:J74" si="7">C69</f>
        <v>16.074999999999839</v>
      </c>
      <c r="K69" s="610">
        <v>51.311070112834841</v>
      </c>
      <c r="L69" s="284">
        <v>63.463814370000001</v>
      </c>
    </row>
    <row r="70" spans="1:12" ht="12" customHeight="1" x14ac:dyDescent="0.25">
      <c r="A70" s="357" t="s">
        <v>252</v>
      </c>
      <c r="B70" s="610">
        <f>+'Koncern RR - EJ ANVÄNDA'!C74</f>
        <v>53.837350000000022</v>
      </c>
      <c r="C70" s="284">
        <f>+'Koncern RR - EJ ANVÄNDA'!D74</f>
        <v>-1.1416500000001264</v>
      </c>
      <c r="D70" s="610">
        <f>+'Koncern RR - EJ ANVÄNDA'!E74</f>
        <v>2.4280249449549434</v>
      </c>
      <c r="E70" s="284">
        <f>+'Koncern RR - EJ ANVÄNDA'!F74</f>
        <v>26.782659005595001</v>
      </c>
      <c r="F70" s="614"/>
      <c r="H70" s="618" t="str">
        <f>'Koncern Nyckeltal - EJ ANVÄNDA'!L23</f>
        <v>Net income for the period, MSEK</v>
      </c>
      <c r="I70" s="610">
        <f>B70</f>
        <v>53.837350000000022</v>
      </c>
      <c r="J70" s="284">
        <f t="shared" si="7"/>
        <v>-1.1416500000001264</v>
      </c>
      <c r="K70" s="610">
        <v>2.4280249449549434</v>
      </c>
      <c r="L70" s="284">
        <v>26.782659005595001</v>
      </c>
    </row>
    <row r="71" spans="1:12" ht="12" customHeight="1" x14ac:dyDescent="0.25">
      <c r="A71" s="357" t="s">
        <v>257</v>
      </c>
      <c r="B71" s="610">
        <f>+'Koncern RR - EJ ANVÄNDA'!C70</f>
        <v>50.637350000000019</v>
      </c>
      <c r="C71" s="284">
        <f>+'Koncern RR - EJ ANVÄNDA'!D70</f>
        <v>8.1583499999998725</v>
      </c>
      <c r="D71" s="610">
        <f>+'Koncern RR - EJ ANVÄNDA'!E70</f>
        <v>34.5432249449549</v>
      </c>
      <c r="E71" s="284">
        <f>+'Koncern RR - EJ ANVÄNDA'!F70</f>
        <v>26.782659005595001</v>
      </c>
      <c r="F71" s="614"/>
      <c r="H71" s="618" t="str">
        <f>'Koncern Nyckeltal - EJ ANVÄNDA'!L24</f>
        <v>Net income for the period related to continuing operations, MSEK</v>
      </c>
      <c r="I71" s="610">
        <f>B71</f>
        <v>50.637350000000019</v>
      </c>
      <c r="J71" s="284">
        <f t="shared" si="7"/>
        <v>8.1583499999998725</v>
      </c>
      <c r="K71" s="610">
        <v>34.5432249449549</v>
      </c>
      <c r="L71" s="284">
        <v>26.782659005595001</v>
      </c>
    </row>
    <row r="72" spans="1:12" ht="12" customHeight="1" x14ac:dyDescent="0.25">
      <c r="A72" s="357" t="s">
        <v>263</v>
      </c>
      <c r="B72" s="610">
        <f>+'Koncern RR - EJ ANVÄNDA'!C79</f>
        <v>6.6412818338170867</v>
      </c>
      <c r="C72" s="284">
        <f>+'Koncern RR - EJ ANVÄNDA'!D79</f>
        <v>0.91344175218193169</v>
      </c>
      <c r="D72" s="610">
        <f>+'Koncern RR - EJ ANVÄNDA'!E79</f>
        <v>4.0470517004443227</v>
      </c>
      <c r="E72" s="284">
        <f>+'Koncern RR - EJ ANVÄNDA'!F79</f>
        <v>2.7554007322683298</v>
      </c>
      <c r="F72" s="619"/>
      <c r="H72" s="618" t="str">
        <f>'Koncern Nyckeltal - EJ ANVÄNDA'!L40</f>
        <v>Earnings per share from continuing operations, SEK</v>
      </c>
      <c r="I72" s="610">
        <f>B72</f>
        <v>6.6412818338170867</v>
      </c>
      <c r="J72" s="284">
        <f t="shared" si="7"/>
        <v>0.91344175218193169</v>
      </c>
      <c r="K72" s="610">
        <v>4.0470517004443227</v>
      </c>
      <c r="L72" s="284">
        <v>2.7554007322683298</v>
      </c>
    </row>
    <row r="73" spans="1:12" ht="12" customHeight="1" x14ac:dyDescent="0.25">
      <c r="A73" s="357" t="s">
        <v>271</v>
      </c>
      <c r="B73" s="610">
        <f>+'Koncern RR - EJ ANVÄNDA'!C81</f>
        <v>7.073785863200329</v>
      </c>
      <c r="C73" s="284">
        <f>+'Koncern RR - EJ ANVÄNDA'!D81</f>
        <v>-0.34352308321311675</v>
      </c>
      <c r="D73" s="610">
        <f>+'Koncern RR - EJ ANVÄNDA'!E81</f>
        <v>-0.29355873844589908</v>
      </c>
      <c r="E73" s="284">
        <f>+'Koncern RR - EJ ANVÄNDA'!F81</f>
        <v>2.7554007322683298</v>
      </c>
      <c r="F73" s="619"/>
      <c r="H73" s="618" t="str">
        <f>'Koncern Nyckeltal - EJ ANVÄNDA'!L42</f>
        <v>Earnings per share, kr</v>
      </c>
      <c r="I73" s="610">
        <f>B73</f>
        <v>7.073785863200329</v>
      </c>
      <c r="J73" s="284">
        <f t="shared" si="7"/>
        <v>-0.34352308321311675</v>
      </c>
      <c r="K73" s="610">
        <v>-0.29355873844589908</v>
      </c>
      <c r="L73" s="284">
        <v>2.7554007322683298</v>
      </c>
    </row>
    <row r="74" spans="1:12" ht="12" customHeight="1" x14ac:dyDescent="0.25">
      <c r="A74" s="359" t="s">
        <v>534</v>
      </c>
      <c r="B74" s="620">
        <v>-0.64</v>
      </c>
      <c r="C74" s="621">
        <v>-0.49049999999999999</v>
      </c>
      <c r="D74" s="620">
        <v>2.4</v>
      </c>
      <c r="E74" s="621">
        <v>1.9</v>
      </c>
      <c r="F74" s="619"/>
      <c r="H74" s="622" t="str">
        <f>'Koncern Nyckeltal - EJ ANVÄNDA'!L29</f>
        <v>Return on equity, %</v>
      </c>
      <c r="I74" s="620">
        <f>B74</f>
        <v>-0.64</v>
      </c>
      <c r="J74" s="621">
        <f t="shared" si="7"/>
        <v>-0.49049999999999999</v>
      </c>
      <c r="K74" s="620">
        <v>2.4</v>
      </c>
      <c r="L74" s="621">
        <v>1.9</v>
      </c>
    </row>
    <row r="75" spans="1:12" ht="12" customHeight="1" x14ac:dyDescent="0.25">
      <c r="A75" s="623" t="s">
        <v>284</v>
      </c>
      <c r="B75" s="624">
        <v>46022</v>
      </c>
      <c r="C75" s="625"/>
      <c r="D75" s="624">
        <v>45657</v>
      </c>
      <c r="E75" s="625"/>
      <c r="F75" s="614"/>
      <c r="H75" s="626" t="s">
        <v>596</v>
      </c>
      <c r="I75" s="2496">
        <v>46022</v>
      </c>
      <c r="J75" s="2497"/>
      <c r="K75" s="2496">
        <v>45657</v>
      </c>
      <c r="L75" s="2497"/>
    </row>
    <row r="76" spans="1:12" ht="12" customHeight="1" x14ac:dyDescent="0.25">
      <c r="A76" s="627" t="s">
        <v>34</v>
      </c>
      <c r="B76" s="628">
        <f>+'Koncern BR - KONCERN ANVÄNDA'!C57</f>
        <v>1427.4738886378877</v>
      </c>
      <c r="C76" s="629"/>
      <c r="D76" s="630">
        <f>+'Koncern BR - KONCERN ANVÄNDA'!D57</f>
        <v>1386.2738886378875</v>
      </c>
      <c r="E76" s="631"/>
      <c r="F76" s="614"/>
      <c r="H76" s="632" t="str">
        <f>'Koncern Nyckeltal - EJ ANVÄNDA'!L32</f>
        <v>Total equity attributable to the parent Company´s shareholders</v>
      </c>
      <c r="I76" s="2483">
        <v>1427.4738886378877</v>
      </c>
      <c r="J76" s="2484"/>
      <c r="K76" s="2485">
        <v>1386.2738886378875</v>
      </c>
      <c r="L76" s="2486"/>
    </row>
    <row r="77" spans="1:12" ht="12" customHeight="1" x14ac:dyDescent="0.25">
      <c r="A77" s="627" t="s">
        <v>35</v>
      </c>
      <c r="B77" s="633">
        <v>192.93</v>
      </c>
      <c r="C77" s="634"/>
      <c r="D77" s="630">
        <v>187.37</v>
      </c>
      <c r="E77" s="631"/>
      <c r="F77" s="614"/>
      <c r="H77" s="632" t="str">
        <f>'Koncern Nyckeltal - EJ ANVÄNDA'!L39</f>
        <v>Equity per share, SEK</v>
      </c>
      <c r="I77" s="2487">
        <v>192.93</v>
      </c>
      <c r="J77" s="2488"/>
      <c r="K77" s="2485">
        <v>187.37</v>
      </c>
      <c r="L77" s="2486"/>
    </row>
    <row r="78" spans="1:12" ht="15" customHeight="1" x14ac:dyDescent="0.25">
      <c r="A78" s="635" t="s">
        <v>304</v>
      </c>
      <c r="B78" s="636">
        <f>+'Koncern BR - KONCERN ANVÄNDA'!C69</f>
        <v>2318.3253005514957</v>
      </c>
      <c r="C78" s="637"/>
      <c r="D78" s="635">
        <f>+'Koncern BR - KONCERN ANVÄNDA'!D69</f>
        <v>2275.6253005514959</v>
      </c>
      <c r="E78" s="638"/>
      <c r="F78" s="614"/>
      <c r="H78" s="639" t="str">
        <f>'Koncern Nyckeltal - EJ ANVÄNDA'!L31</f>
        <v>Total assets, MSEK</v>
      </c>
      <c r="I78" s="2493">
        <v>2318.3253005514957</v>
      </c>
      <c r="J78" s="2490"/>
      <c r="K78" s="2491">
        <v>2275.6253005514959</v>
      </c>
      <c r="L78" s="2492"/>
    </row>
    <row r="79" spans="1:12" ht="5.0999999999999996" customHeight="1" x14ac:dyDescent="0.25">
      <c r="A79" s="640"/>
      <c r="B79" s="255"/>
      <c r="C79" s="255"/>
      <c r="D79" s="255"/>
      <c r="E79" s="243"/>
      <c r="F79" s="614"/>
      <c r="H79" s="342"/>
      <c r="I79" s="255"/>
      <c r="J79" s="255"/>
      <c r="K79" s="255"/>
      <c r="L79" s="243"/>
    </row>
    <row r="80" spans="1:12" ht="12" customHeight="1" x14ac:dyDescent="0.25">
      <c r="A80" s="641" t="s">
        <v>313</v>
      </c>
      <c r="B80" s="605" t="str">
        <f>+'Bullettabell KOPIA ta bort'!B2</f>
        <v>Kvartal 2</v>
      </c>
      <c r="C80" s="606"/>
      <c r="D80" s="605" t="s">
        <v>32</v>
      </c>
      <c r="E80" s="606"/>
      <c r="F80" s="614"/>
      <c r="H80" s="607" t="s">
        <v>314</v>
      </c>
      <c r="I80" s="2494" t="s">
        <v>524</v>
      </c>
      <c r="J80" s="2495"/>
      <c r="K80" s="2494" t="s">
        <v>525</v>
      </c>
      <c r="L80" s="2495"/>
    </row>
    <row r="81" spans="1:12" ht="12" customHeight="1" x14ac:dyDescent="0.25">
      <c r="A81" s="642"/>
      <c r="B81" s="609">
        <f>+'Bullettabell KOPIA ta bort'!B3</f>
        <v>2026</v>
      </c>
      <c r="C81" s="609">
        <f>+'Bullettabell KOPIA ta bort'!C3</f>
        <v>2025</v>
      </c>
      <c r="D81" s="609">
        <f>+'Bullettabell KOPIA ta bort'!D3</f>
        <v>2026</v>
      </c>
      <c r="E81" s="609">
        <f>+'Bullettabell KOPIA ta bort'!E3</f>
        <v>2025</v>
      </c>
      <c r="F81" s="614"/>
      <c r="H81" s="643"/>
      <c r="I81" s="609">
        <v>2025</v>
      </c>
      <c r="J81" s="609">
        <v>2024</v>
      </c>
      <c r="K81" s="609">
        <v>2025</v>
      </c>
      <c r="L81" s="609">
        <v>2024</v>
      </c>
    </row>
    <row r="82" spans="1:12" ht="12" customHeight="1" x14ac:dyDescent="0.25">
      <c r="A82" s="357" t="s">
        <v>248</v>
      </c>
      <c r="B82" s="610">
        <f>'Koncern RR - EJ ANVÄNDA'!C12</f>
        <v>92.400000000000063</v>
      </c>
      <c r="C82" s="284">
        <f>'Koncern RR - EJ ANVÄNDA'!D12</f>
        <v>40.399999999999849</v>
      </c>
      <c r="D82" s="610">
        <f>'Koncern RR - EJ ANVÄNDA'!E12</f>
        <v>142.80000000000004</v>
      </c>
      <c r="E82" s="284">
        <f>'Koncern RR - EJ ANVÄNDA'!F12</f>
        <v>97.89999999999992</v>
      </c>
      <c r="F82" s="614"/>
      <c r="H82" s="618" t="str">
        <f t="shared" ref="H82:H87" si="8">H69</f>
        <v>Operating income/loss, MSEK</v>
      </c>
      <c r="I82" s="610">
        <v>21.600000000000094</v>
      </c>
      <c r="J82" s="284">
        <v>28.600000000000229</v>
      </c>
      <c r="K82" s="610">
        <v>148.60000000000011</v>
      </c>
      <c r="L82" s="284">
        <v>160.80000000000015</v>
      </c>
    </row>
    <row r="83" spans="1:12" ht="12" customHeight="1" x14ac:dyDescent="0.25">
      <c r="A83" s="357" t="s">
        <v>252</v>
      </c>
      <c r="B83" s="610">
        <f>+'Koncern RR - EJ ANVÄNDA'!C25</f>
        <v>70.000000000000071</v>
      </c>
      <c r="C83" s="284">
        <f>+'Koncern RR - EJ ANVÄNDA'!D25</f>
        <v>18.099999999999856</v>
      </c>
      <c r="D83" s="610">
        <f>+'Koncern RR - EJ ANVÄNDA'!E25</f>
        <v>104.00000000000004</v>
      </c>
      <c r="E83" s="284">
        <f>+'Koncern RR - EJ ANVÄNDA'!F25</f>
        <v>61.499999999999915</v>
      </c>
      <c r="F83" s="614"/>
      <c r="H83" s="618" t="str">
        <f t="shared" si="8"/>
        <v>Net income for the period, MSEK</v>
      </c>
      <c r="I83" s="610">
        <v>-1.0999999999999055</v>
      </c>
      <c r="J83" s="284">
        <v>12.20000000000023</v>
      </c>
      <c r="K83" s="610">
        <v>78.100000000000108</v>
      </c>
      <c r="L83" s="284">
        <v>100.10000000000015</v>
      </c>
    </row>
    <row r="84" spans="1:12" ht="12" customHeight="1" x14ac:dyDescent="0.25">
      <c r="A84" s="357" t="s">
        <v>27</v>
      </c>
      <c r="B84" s="610">
        <f>+'Koncern RR - EJ ANVÄNDA'!C21</f>
        <v>70.600000000000065</v>
      </c>
      <c r="C84" s="284">
        <f>+'Koncern RR - EJ ANVÄNDA'!D21</f>
        <v>25.599999999999852</v>
      </c>
      <c r="D84" s="610">
        <f>+'Koncern RR - EJ ANVÄNDA'!E21</f>
        <v>107.40000000000003</v>
      </c>
      <c r="E84" s="284">
        <f>+'Koncern RR - EJ ANVÄNDA'!F21</f>
        <v>71.699999999999918</v>
      </c>
      <c r="F84" s="614"/>
      <c r="H84" s="618" t="str">
        <f t="shared" si="8"/>
        <v>Net income for the period related to continuing operations, MSEK</v>
      </c>
      <c r="I84" s="610">
        <v>14.300000000000093</v>
      </c>
      <c r="J84" s="284">
        <v>12.20000000000023</v>
      </c>
      <c r="K84" s="610">
        <v>110.2000000000001</v>
      </c>
      <c r="L84" s="284">
        <v>100.10000000000015</v>
      </c>
    </row>
    <row r="85" spans="1:12" ht="12" customHeight="1" x14ac:dyDescent="0.25">
      <c r="A85" s="357" t="s">
        <v>263</v>
      </c>
      <c r="B85" s="610">
        <f>+'Koncern RR - EJ ANVÄNDA'!C31</f>
        <v>9.34</v>
      </c>
      <c r="C85" s="284">
        <f>+'Koncern RR - EJ ANVÄNDA'!D31</f>
        <v>3.2800000000000011</v>
      </c>
      <c r="D85" s="610">
        <f>+'Koncern RR - EJ ANVÄNDA'!E31</f>
        <v>14.16</v>
      </c>
      <c r="E85" s="284">
        <f>+'Koncern RR - EJ ANVÄNDA'!F31</f>
        <v>9.3000000000000007</v>
      </c>
      <c r="F85" s="614"/>
      <c r="H85" s="618" t="str">
        <f t="shared" si="8"/>
        <v>Earnings per share from continuing operations, SEK</v>
      </c>
      <c r="I85" s="610">
        <v>1.8499999999999996</v>
      </c>
      <c r="J85" s="284">
        <v>1.66</v>
      </c>
      <c r="K85" s="610">
        <v>14.27</v>
      </c>
      <c r="L85" s="284">
        <v>12.67</v>
      </c>
    </row>
    <row r="86" spans="1:12" ht="12" customHeight="1" x14ac:dyDescent="0.25">
      <c r="A86" s="357" t="s">
        <v>271</v>
      </c>
      <c r="B86" s="610">
        <f>+'Koncern RR - EJ ANVÄNDA'!C33</f>
        <v>9.25</v>
      </c>
      <c r="C86" s="284">
        <f>+'Koncern RR - EJ ANVÄNDA'!D33</f>
        <v>2.2599999999999998</v>
      </c>
      <c r="D86" s="610">
        <f>+'Koncern RR - EJ ANVÄNDA'!E33</f>
        <v>13.7</v>
      </c>
      <c r="E86" s="284">
        <f>+'Koncern RR - EJ ANVÄNDA'!F33</f>
        <v>7.91</v>
      </c>
      <c r="F86" s="614"/>
      <c r="H86" s="618" t="str">
        <f t="shared" si="8"/>
        <v>Earnings per share, kr</v>
      </c>
      <c r="I86" s="610">
        <v>-0.24000000000000021</v>
      </c>
      <c r="J86" s="284">
        <v>1.66</v>
      </c>
      <c r="K86" s="610">
        <v>9.94</v>
      </c>
      <c r="L86" s="284">
        <v>12.67</v>
      </c>
    </row>
    <row r="87" spans="1:12" ht="12" customHeight="1" x14ac:dyDescent="0.25">
      <c r="A87" s="359" t="s">
        <v>534</v>
      </c>
      <c r="B87" s="620">
        <v>8.1999999999999993</v>
      </c>
      <c r="C87" s="621">
        <v>7.4</v>
      </c>
      <c r="D87" s="620">
        <v>15.8</v>
      </c>
      <c r="E87" s="621">
        <v>15.2</v>
      </c>
      <c r="F87" s="614"/>
      <c r="H87" s="622" t="str">
        <f t="shared" si="8"/>
        <v>Return on equity, %</v>
      </c>
      <c r="I87" s="620">
        <v>8.1999999999999993</v>
      </c>
      <c r="J87" s="621">
        <v>7.4</v>
      </c>
      <c r="K87" s="620">
        <v>15.8</v>
      </c>
      <c r="L87" s="621">
        <v>15.2</v>
      </c>
    </row>
    <row r="88" spans="1:12" ht="12" customHeight="1" x14ac:dyDescent="0.25">
      <c r="A88" s="623" t="s">
        <v>341</v>
      </c>
      <c r="B88" s="624">
        <v>46022</v>
      </c>
      <c r="C88" s="625"/>
      <c r="D88" s="624">
        <v>45657</v>
      </c>
      <c r="E88" s="625"/>
      <c r="F88" s="614"/>
      <c r="H88" s="626" t="s">
        <v>342</v>
      </c>
      <c r="I88" s="2496">
        <v>46022</v>
      </c>
      <c r="J88" s="2497"/>
      <c r="K88" s="2496">
        <v>45657</v>
      </c>
      <c r="L88" s="2497"/>
    </row>
    <row r="89" spans="1:12" ht="12" customHeight="1" x14ac:dyDescent="0.25">
      <c r="A89" s="644" t="s">
        <v>34</v>
      </c>
      <c r="B89" s="628">
        <f>+'Koncern BR - KONCERN ANVÄNDA'!C19</f>
        <v>794.7</v>
      </c>
      <c r="C89" s="629"/>
      <c r="D89" s="630">
        <f>+'Koncern BR - KONCERN ANVÄNDA'!D19</f>
        <v>681.69999999999993</v>
      </c>
      <c r="E89" s="631"/>
      <c r="H89" s="645" t="str">
        <f>H76</f>
        <v>Total equity attributable to the parent Company´s shareholders</v>
      </c>
      <c r="I89" s="2483">
        <v>698.8</v>
      </c>
      <c r="J89" s="2484"/>
      <c r="K89" s="2485">
        <v>657.59999999999991</v>
      </c>
      <c r="L89" s="2486"/>
    </row>
    <row r="90" spans="1:12" ht="12" customHeight="1" x14ac:dyDescent="0.25">
      <c r="A90" s="630" t="s">
        <v>35</v>
      </c>
      <c r="B90" s="633">
        <f>+'Koncern Nyckeltal - EJ ANVÄNDA'!D66</f>
        <v>107.42</v>
      </c>
      <c r="C90" s="634"/>
      <c r="D90" s="630">
        <f>+'Koncern Nyckeltal - EJ ANVÄNDA'!E66</f>
        <v>92.5</v>
      </c>
      <c r="E90" s="631"/>
      <c r="H90" s="646" t="str">
        <f>H77</f>
        <v>Equity per share, SEK</v>
      </c>
      <c r="I90" s="2487">
        <v>94.45</v>
      </c>
      <c r="J90" s="2488"/>
      <c r="K90" s="2485">
        <v>88.88</v>
      </c>
      <c r="L90" s="2486"/>
    </row>
    <row r="91" spans="1:12" ht="15" customHeight="1" x14ac:dyDescent="0.25">
      <c r="A91" s="635" t="s">
        <v>304</v>
      </c>
      <c r="B91" s="636">
        <f>+'Koncern BR - KONCERN ANVÄNDA'!C30</f>
        <v>1478.1999999999998</v>
      </c>
      <c r="C91" s="637"/>
      <c r="D91" s="635">
        <f>+'Koncern BR - KONCERN ANVÄNDA'!D30</f>
        <v>1473.3</v>
      </c>
      <c r="E91" s="638"/>
      <c r="H91" s="647" t="str">
        <f>H78</f>
        <v>Total assets, MSEK</v>
      </c>
      <c r="I91" s="2489">
        <v>1400.6</v>
      </c>
      <c r="J91" s="2490"/>
      <c r="K91" s="2491">
        <v>1357.8999999999999</v>
      </c>
      <c r="L91" s="2492"/>
    </row>
    <row r="100" spans="8:12" x14ac:dyDescent="0.25">
      <c r="H100" s="2498" t="s">
        <v>594</v>
      </c>
      <c r="I100" s="2494" t="s">
        <v>524</v>
      </c>
      <c r="J100" s="2495"/>
      <c r="K100" s="2494" t="s">
        <v>525</v>
      </c>
      <c r="L100" s="2495"/>
    </row>
    <row r="101" spans="8:12" x14ac:dyDescent="0.25">
      <c r="H101" s="2499"/>
      <c r="I101" s="609">
        <v>2025</v>
      </c>
      <c r="J101" s="609">
        <v>2024</v>
      </c>
      <c r="K101" s="609">
        <v>2025</v>
      </c>
      <c r="L101" s="609">
        <v>2024</v>
      </c>
    </row>
    <row r="102" spans="8:12" x14ac:dyDescent="0.25">
      <c r="H102" s="283" t="str">
        <f>'Koncern Nyckeltal - EJ ANVÄNDA'!L42</f>
        <v>Earnings per share, kr</v>
      </c>
      <c r="I102" s="610">
        <v>520.40000000000009</v>
      </c>
      <c r="J102" s="284">
        <v>579.50000000000023</v>
      </c>
      <c r="K102" s="610">
        <v>2329.8000000000002</v>
      </c>
      <c r="L102" s="284">
        <v>2271.8000000000002</v>
      </c>
    </row>
    <row r="103" spans="8:12" x14ac:dyDescent="0.25">
      <c r="H103" s="613">
        <f>'Koncern Nyckeltal - EJ ANVÄNDA'!L43</f>
        <v>0</v>
      </c>
      <c r="I103" s="612">
        <v>43.400000000000091</v>
      </c>
      <c r="J103" s="293">
        <v>50.600000000000229</v>
      </c>
      <c r="K103" s="612">
        <v>237.30000000000013</v>
      </c>
      <c r="L103" s="293">
        <v>252.2</v>
      </c>
    </row>
    <row r="104" spans="8:12" x14ac:dyDescent="0.25">
      <c r="H104" s="305"/>
      <c r="I104" s="255"/>
      <c r="J104" s="255"/>
      <c r="K104" s="255"/>
      <c r="L104" s="255"/>
    </row>
    <row r="105" spans="8:12" x14ac:dyDescent="0.25">
      <c r="H105" s="615" t="s">
        <v>595</v>
      </c>
      <c r="I105" s="2494" t="s">
        <v>524</v>
      </c>
      <c r="J105" s="2495"/>
      <c r="K105" s="2494" t="s">
        <v>525</v>
      </c>
      <c r="L105" s="2495"/>
    </row>
    <row r="106" spans="8:12" x14ac:dyDescent="0.25">
      <c r="H106" s="617"/>
      <c r="I106" s="616">
        <v>2025</v>
      </c>
      <c r="J106" s="609">
        <v>2024</v>
      </c>
      <c r="K106" s="609">
        <v>2025</v>
      </c>
      <c r="L106" s="609">
        <v>2024</v>
      </c>
    </row>
    <row r="107" spans="8:12" x14ac:dyDescent="0.25">
      <c r="H107" s="618" t="str">
        <f>'Koncern Nyckeltal - EJ ANVÄNDA'!L60</f>
        <v>Proportion of risk-bearing capital, %</v>
      </c>
      <c r="I107" s="610">
        <v>-2.7249999999998948</v>
      </c>
      <c r="J107" s="284">
        <f t="shared" ref="J107:J112" si="9">C107</f>
        <v>0</v>
      </c>
      <c r="K107" s="610">
        <v>51.311070112834841</v>
      </c>
      <c r="L107" s="284">
        <v>63.463814370000001</v>
      </c>
    </row>
    <row r="108" spans="8:12" x14ac:dyDescent="0.25">
      <c r="H108" s="618" t="str">
        <f>'Koncern Nyckeltal - EJ ANVÄNDA'!L61</f>
        <v>Interest coverage ratio</v>
      </c>
      <c r="I108" s="610">
        <f>B108</f>
        <v>0</v>
      </c>
      <c r="J108" s="284">
        <f t="shared" si="9"/>
        <v>0</v>
      </c>
      <c r="K108" s="610">
        <v>2.4280249449549434</v>
      </c>
      <c r="L108" s="284">
        <v>26.782659005595001</v>
      </c>
    </row>
    <row r="109" spans="8:12" x14ac:dyDescent="0.25">
      <c r="H109" s="618">
        <f>'Koncern Nyckeltal - EJ ANVÄNDA'!L62</f>
        <v>0</v>
      </c>
      <c r="I109" s="610">
        <f>B109</f>
        <v>0</v>
      </c>
      <c r="J109" s="284">
        <f t="shared" si="9"/>
        <v>0</v>
      </c>
      <c r="K109" s="610">
        <v>34.5432249449549</v>
      </c>
      <c r="L109" s="284">
        <v>26.782659005595001</v>
      </c>
    </row>
    <row r="110" spans="8:12" x14ac:dyDescent="0.25">
      <c r="H110" s="618">
        <f>'Koncern Nyckeltal - EJ ANVÄNDA'!L78</f>
        <v>0</v>
      </c>
      <c r="I110" s="610">
        <f>B110</f>
        <v>0</v>
      </c>
      <c r="J110" s="284">
        <f t="shared" si="9"/>
        <v>0</v>
      </c>
      <c r="K110" s="610">
        <v>4.0470517004443227</v>
      </c>
      <c r="L110" s="284">
        <v>2.7554007322683298</v>
      </c>
    </row>
    <row r="111" spans="8:12" x14ac:dyDescent="0.25">
      <c r="H111" s="618">
        <f>'Koncern Nyckeltal - EJ ANVÄNDA'!L80</f>
        <v>0</v>
      </c>
      <c r="I111" s="610">
        <f>B111</f>
        <v>0</v>
      </c>
      <c r="J111" s="284">
        <f t="shared" si="9"/>
        <v>0</v>
      </c>
      <c r="K111" s="610">
        <v>-0.29355873844589908</v>
      </c>
      <c r="L111" s="284">
        <v>2.7554007322683298</v>
      </c>
    </row>
    <row r="112" spans="8:12" x14ac:dyDescent="0.25">
      <c r="H112" s="622">
        <f>'Koncern Nyckeltal - EJ ANVÄNDA'!L67</f>
        <v>0</v>
      </c>
      <c r="I112" s="620">
        <f>B112</f>
        <v>0</v>
      </c>
      <c r="J112" s="621">
        <f t="shared" si="9"/>
        <v>0</v>
      </c>
      <c r="K112" s="620">
        <v>2.4</v>
      </c>
      <c r="L112" s="621">
        <v>1.9</v>
      </c>
    </row>
    <row r="113" spans="8:12" x14ac:dyDescent="0.25">
      <c r="H113" s="626" t="s">
        <v>596</v>
      </c>
      <c r="I113" s="2496">
        <v>46022</v>
      </c>
      <c r="J113" s="2497"/>
      <c r="K113" s="2496">
        <v>45657</v>
      </c>
      <c r="L113" s="2497"/>
    </row>
    <row r="114" spans="8:12" x14ac:dyDescent="0.25">
      <c r="H114" s="632">
        <f>'Koncern Nyckeltal - EJ ANVÄNDA'!L70</f>
        <v>0</v>
      </c>
      <c r="I114" s="2483">
        <v>1427.4738886378877</v>
      </c>
      <c r="J114" s="2484"/>
      <c r="K114" s="2485">
        <v>1386.2738886378875</v>
      </c>
      <c r="L114" s="2486"/>
    </row>
    <row r="115" spans="8:12" x14ac:dyDescent="0.25">
      <c r="H115" s="632">
        <f>'Koncern Nyckeltal - EJ ANVÄNDA'!L77</f>
        <v>0</v>
      </c>
      <c r="I115" s="2487">
        <v>192.93</v>
      </c>
      <c r="J115" s="2488"/>
      <c r="K115" s="2485">
        <v>187.37</v>
      </c>
      <c r="L115" s="2486"/>
    </row>
    <row r="116" spans="8:12" x14ac:dyDescent="0.25">
      <c r="H116" s="639">
        <f>'Koncern Nyckeltal - EJ ANVÄNDA'!L69</f>
        <v>0</v>
      </c>
      <c r="I116" s="2493">
        <v>2318.3253005514957</v>
      </c>
      <c r="J116" s="2490"/>
      <c r="K116" s="2491">
        <v>2275.6253005514959</v>
      </c>
      <c r="L116" s="2492"/>
    </row>
    <row r="117" spans="8:12" x14ac:dyDescent="0.25">
      <c r="H117" s="342"/>
      <c r="I117" s="255"/>
      <c r="J117" s="255"/>
      <c r="K117" s="255"/>
      <c r="L117" s="243"/>
    </row>
    <row r="118" spans="8:12" x14ac:dyDescent="0.25">
      <c r="H118" s="607" t="s">
        <v>314</v>
      </c>
      <c r="I118" s="2494" t="s">
        <v>524</v>
      </c>
      <c r="J118" s="2495"/>
      <c r="K118" s="2494" t="s">
        <v>525</v>
      </c>
      <c r="L118" s="2495"/>
    </row>
    <row r="119" spans="8:12" x14ac:dyDescent="0.25">
      <c r="H119" s="643"/>
      <c r="I119" s="609">
        <v>2025</v>
      </c>
      <c r="J119" s="609">
        <v>2024</v>
      </c>
      <c r="K119" s="609">
        <v>2025</v>
      </c>
      <c r="L119" s="609">
        <v>2024</v>
      </c>
    </row>
    <row r="120" spans="8:12" x14ac:dyDescent="0.25">
      <c r="H120" s="618" t="str">
        <f t="shared" ref="H120:H125" si="10">H107</f>
        <v>Proportion of risk-bearing capital, %</v>
      </c>
      <c r="I120" s="610">
        <v>21.600000000000094</v>
      </c>
      <c r="J120" s="284">
        <v>28.600000000000229</v>
      </c>
      <c r="K120" s="610">
        <v>148.60000000000011</v>
      </c>
      <c r="L120" s="284">
        <v>160.80000000000015</v>
      </c>
    </row>
    <row r="121" spans="8:12" x14ac:dyDescent="0.25">
      <c r="H121" s="618" t="str">
        <f t="shared" si="10"/>
        <v>Interest coverage ratio</v>
      </c>
      <c r="I121" s="610">
        <v>-1.0999999999999055</v>
      </c>
      <c r="J121" s="284">
        <v>12.20000000000023</v>
      </c>
      <c r="K121" s="610">
        <v>78.100000000000108</v>
      </c>
      <c r="L121" s="284">
        <v>100.10000000000015</v>
      </c>
    </row>
    <row r="122" spans="8:12" x14ac:dyDescent="0.25">
      <c r="H122" s="618">
        <f t="shared" si="10"/>
        <v>0</v>
      </c>
      <c r="I122" s="610">
        <v>14.300000000000093</v>
      </c>
      <c r="J122" s="284">
        <v>12.20000000000023</v>
      </c>
      <c r="K122" s="610">
        <v>110.2000000000001</v>
      </c>
      <c r="L122" s="284">
        <v>100.10000000000015</v>
      </c>
    </row>
    <row r="123" spans="8:12" x14ac:dyDescent="0.25">
      <c r="H123" s="618">
        <f t="shared" si="10"/>
        <v>0</v>
      </c>
      <c r="I123" s="610">
        <v>1.8499999999999996</v>
      </c>
      <c r="J123" s="284">
        <v>1.66</v>
      </c>
      <c r="K123" s="610">
        <v>14.27</v>
      </c>
      <c r="L123" s="284">
        <v>12.67</v>
      </c>
    </row>
    <row r="124" spans="8:12" x14ac:dyDescent="0.25">
      <c r="H124" s="618">
        <f t="shared" si="10"/>
        <v>0</v>
      </c>
      <c r="I124" s="610">
        <v>-0.24000000000000021</v>
      </c>
      <c r="J124" s="284">
        <v>1.66</v>
      </c>
      <c r="K124" s="610">
        <v>9.94</v>
      </c>
      <c r="L124" s="284">
        <v>12.67</v>
      </c>
    </row>
    <row r="125" spans="8:12" x14ac:dyDescent="0.25">
      <c r="H125" s="622">
        <f t="shared" si="10"/>
        <v>0</v>
      </c>
      <c r="I125" s="620">
        <v>8.1999999999999993</v>
      </c>
      <c r="J125" s="621">
        <v>7.4</v>
      </c>
      <c r="K125" s="620">
        <v>15.8</v>
      </c>
      <c r="L125" s="621">
        <v>15.2</v>
      </c>
    </row>
    <row r="126" spans="8:12" x14ac:dyDescent="0.25">
      <c r="H126" s="626" t="s">
        <v>342</v>
      </c>
      <c r="I126" s="2496">
        <v>46022</v>
      </c>
      <c r="J126" s="2497"/>
      <c r="K126" s="2496">
        <v>45657</v>
      </c>
      <c r="L126" s="2497"/>
    </row>
    <row r="127" spans="8:12" x14ac:dyDescent="0.25">
      <c r="H127" s="645">
        <f>H114</f>
        <v>0</v>
      </c>
      <c r="I127" s="2483">
        <v>698.8</v>
      </c>
      <c r="J127" s="2484"/>
      <c r="K127" s="2485">
        <v>657.59999999999991</v>
      </c>
      <c r="L127" s="2486"/>
    </row>
    <row r="128" spans="8:12" x14ac:dyDescent="0.25">
      <c r="H128" s="646">
        <f>H115</f>
        <v>0</v>
      </c>
      <c r="I128" s="2487">
        <v>94.45</v>
      </c>
      <c r="J128" s="2488"/>
      <c r="K128" s="2485">
        <v>88.88</v>
      </c>
      <c r="L128" s="2486"/>
    </row>
    <row r="129" spans="8:12" x14ac:dyDescent="0.25">
      <c r="H129" s="647">
        <f>H116</f>
        <v>0</v>
      </c>
      <c r="I129" s="2489">
        <v>1400.6</v>
      </c>
      <c r="J129" s="2490"/>
      <c r="K129" s="2491">
        <v>1357.8999999999999</v>
      </c>
      <c r="L129" s="2492"/>
    </row>
  </sheetData>
  <mergeCells count="48">
    <mergeCell ref="B39:C39"/>
    <mergeCell ref="D39:E39"/>
    <mergeCell ref="K78:L78"/>
    <mergeCell ref="I62:J62"/>
    <mergeCell ref="K62:L62"/>
    <mergeCell ref="I67:J67"/>
    <mergeCell ref="K67:L67"/>
    <mergeCell ref="I75:J75"/>
    <mergeCell ref="K75:L75"/>
    <mergeCell ref="H62:H63"/>
    <mergeCell ref="I76:J76"/>
    <mergeCell ref="K76:L76"/>
    <mergeCell ref="I77:J77"/>
    <mergeCell ref="K77:L77"/>
    <mergeCell ref="I78:J78"/>
    <mergeCell ref="I90:J90"/>
    <mergeCell ref="K90:L90"/>
    <mergeCell ref="I91:J91"/>
    <mergeCell ref="K91:L91"/>
    <mergeCell ref="I80:J80"/>
    <mergeCell ref="K80:L80"/>
    <mergeCell ref="I88:J88"/>
    <mergeCell ref="K88:L88"/>
    <mergeCell ref="I89:J89"/>
    <mergeCell ref="K89:L89"/>
    <mergeCell ref="H100:H101"/>
    <mergeCell ref="I100:J100"/>
    <mergeCell ref="K100:L100"/>
    <mergeCell ref="I105:J105"/>
    <mergeCell ref="K105:L105"/>
    <mergeCell ref="I113:J113"/>
    <mergeCell ref="K113:L113"/>
    <mergeCell ref="I114:J114"/>
    <mergeCell ref="K114:L114"/>
    <mergeCell ref="I115:J115"/>
    <mergeCell ref="K115:L115"/>
    <mergeCell ref="I116:J116"/>
    <mergeCell ref="K116:L116"/>
    <mergeCell ref="I118:J118"/>
    <mergeCell ref="K118:L118"/>
    <mergeCell ref="I126:J126"/>
    <mergeCell ref="K126:L126"/>
    <mergeCell ref="I127:J127"/>
    <mergeCell ref="K127:L127"/>
    <mergeCell ref="I128:J128"/>
    <mergeCell ref="K128:L128"/>
    <mergeCell ref="I129:J129"/>
    <mergeCell ref="K129:L129"/>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84740745262"/>
  </sheetPr>
  <dimension ref="A1:N105"/>
  <sheetViews>
    <sheetView workbookViewId="0"/>
    <sheetView workbookViewId="1"/>
  </sheetViews>
  <sheetFormatPr defaultColWidth="9.140625" defaultRowHeight="9" outlineLevelCol="1" x14ac:dyDescent="0.15"/>
  <cols>
    <col min="1" max="1" width="39.85546875" style="259" customWidth="1"/>
    <col min="2" max="2" width="6.7109375" style="478" customWidth="1"/>
    <col min="3" max="4" width="8.140625" style="259" customWidth="1"/>
    <col min="5" max="5" width="8.140625" style="259" hidden="1" customWidth="1" outlineLevel="1"/>
    <col min="6" max="6" width="9.140625" style="259" hidden="1" customWidth="1" outlineLevel="1"/>
    <col min="7" max="7" width="9.140625" style="259" collapsed="1"/>
    <col min="8" max="8" width="9.140625" style="259"/>
    <col min="9" max="9" width="14.140625" style="259" customWidth="1"/>
    <col min="10" max="10" width="38.140625" style="259" customWidth="1"/>
    <col min="11" max="11" width="6.42578125" style="259" customWidth="1"/>
    <col min="12" max="12" width="9.85546875" style="259" customWidth="1"/>
    <col min="13" max="13" width="8.5703125" style="259" customWidth="1"/>
    <col min="14" max="14" width="12.140625" style="259" customWidth="1"/>
    <col min="15" max="16384" width="9.140625" style="259"/>
  </cols>
  <sheetData>
    <row r="1" spans="1:13" ht="11.25" customHeight="1" x14ac:dyDescent="0.2">
      <c r="A1" s="262" t="s">
        <v>103</v>
      </c>
      <c r="B1" s="468"/>
      <c r="C1" s="272"/>
      <c r="D1" s="272"/>
      <c r="G1" s="259">
        <v>399</v>
      </c>
      <c r="I1" s="469" t="s">
        <v>575</v>
      </c>
      <c r="J1" s="470" t="s">
        <v>597</v>
      </c>
      <c r="K1" s="468"/>
      <c r="L1" s="272"/>
      <c r="M1" s="272"/>
    </row>
    <row r="2" spans="1:13" ht="11.25" customHeight="1" x14ac:dyDescent="0.15">
      <c r="A2" s="260"/>
      <c r="B2" s="267"/>
      <c r="C2" s="261" t="str">
        <f>+[2]rapkvart!F54</f>
        <v>30 jun</v>
      </c>
      <c r="D2" s="261" t="str">
        <f>+[2]rapkvart!G54</f>
        <v>30 jun</v>
      </c>
      <c r="E2" s="261" t="str">
        <f>+[2]rapkvart!I54</f>
        <v>31 dec</v>
      </c>
      <c r="G2" s="259">
        <v>23</v>
      </c>
      <c r="J2" s="260"/>
      <c r="K2" s="267"/>
      <c r="L2" s="261" t="s">
        <v>451</v>
      </c>
      <c r="M2" s="261" t="s">
        <v>451</v>
      </c>
    </row>
    <row r="3" spans="1:13" ht="9.75" customHeight="1" x14ac:dyDescent="0.15">
      <c r="A3" s="273" t="str">
        <f>+[2]rapkvart!$B$55</f>
        <v>Mkr</v>
      </c>
      <c r="B3" s="274" t="str">
        <f>+[2]rapkvart!$C$55</f>
        <v>Not</v>
      </c>
      <c r="C3" s="275">
        <f>+[2]rapkvart!F55</f>
        <v>2026</v>
      </c>
      <c r="D3" s="275">
        <f>+[2]rapkvart!G55</f>
        <v>2025</v>
      </c>
      <c r="E3" s="275">
        <f>+[2]rapkvart!I55</f>
        <v>2025</v>
      </c>
      <c r="G3" s="259">
        <f>SUM(G1:G2)</f>
        <v>422</v>
      </c>
      <c r="J3" s="273" t="str">
        <f>+[2]rapkvart!$A$55</f>
        <v>MSEK</v>
      </c>
      <c r="K3" s="274" t="s">
        <v>219</v>
      </c>
      <c r="L3" s="275">
        <v>2025</v>
      </c>
      <c r="M3" s="275">
        <v>2024</v>
      </c>
    </row>
    <row r="4" spans="1:13" ht="9" customHeight="1" x14ac:dyDescent="0.15">
      <c r="A4" s="257" t="str">
        <f>+[2]rapkvart!B56</f>
        <v>Tillgångar</v>
      </c>
      <c r="B4" s="258"/>
      <c r="C4" s="471"/>
      <c r="J4" s="257" t="str">
        <f>+[2]rapkvart!A56</f>
        <v>Assets</v>
      </c>
      <c r="K4" s="258"/>
      <c r="L4" s="471"/>
    </row>
    <row r="5" spans="1:13" ht="9" customHeight="1" x14ac:dyDescent="0.15">
      <c r="A5" s="472" t="str">
        <f>+[2]rapkvart!B57</f>
        <v>Immateriella anläggningstillgångar</v>
      </c>
      <c r="B5" s="473"/>
      <c r="C5" s="296">
        <f>+[2]rapkvart!F57</f>
        <v>10</v>
      </c>
      <c r="D5" s="295">
        <f>+[2]rapkvart!G57</f>
        <v>10</v>
      </c>
      <c r="E5" s="295">
        <f>+[2]rapkvart!I57</f>
        <v>10</v>
      </c>
      <c r="J5" s="472" t="str">
        <f>+[2]rapkvart!$A57</f>
        <v xml:space="preserve"> Intangible fixed assets</v>
      </c>
      <c r="K5" s="473"/>
      <c r="L5" s="296">
        <v>10</v>
      </c>
      <c r="M5" s="295">
        <v>10</v>
      </c>
    </row>
    <row r="6" spans="1:13" ht="9" customHeight="1" x14ac:dyDescent="0.15">
      <c r="A6" s="472" t="str">
        <f>+[2]rapkvart!B58</f>
        <v>Materiella anläggningstillgångar</v>
      </c>
      <c r="B6" s="473"/>
      <c r="C6" s="474">
        <f>+[2]rapkvart!F58</f>
        <v>566.4</v>
      </c>
      <c r="D6" s="295">
        <f>+[2]rapkvart!G58</f>
        <v>586.70000000000005</v>
      </c>
      <c r="E6" s="295">
        <f>+[2]rapkvart!I58</f>
        <v>584.9</v>
      </c>
      <c r="J6" s="472" t="str">
        <f>+[2]rapkvart!$A58</f>
        <v xml:space="preserve"> Tangible fixed assets</v>
      </c>
      <c r="K6" s="473"/>
      <c r="L6" s="474">
        <v>584.9</v>
      </c>
      <c r="M6" s="295">
        <v>587.1</v>
      </c>
    </row>
    <row r="7" spans="1:13" ht="9" customHeight="1" x14ac:dyDescent="0.15">
      <c r="A7" s="472" t="str">
        <f>+[2]rapkvart!B59</f>
        <v>Nyttjanderättstillgångar</v>
      </c>
      <c r="B7" s="473"/>
      <c r="C7" s="474">
        <f>+[2]rapkvart!F59</f>
        <v>18.600000000000001</v>
      </c>
      <c r="D7" s="295">
        <f>+[2]rapkvart!G59</f>
        <v>18.600000000000001</v>
      </c>
      <c r="E7" s="295">
        <f>+[2]rapkvart!I59</f>
        <v>17.8</v>
      </c>
      <c r="J7" s="472" t="str">
        <f>+[2]rapkvart!$A59</f>
        <v xml:space="preserve"> Right of use assets</v>
      </c>
      <c r="K7" s="473"/>
      <c r="L7" s="474">
        <v>17.8</v>
      </c>
      <c r="M7" s="295">
        <v>22</v>
      </c>
    </row>
    <row r="8" spans="1:13" ht="9" customHeight="1" x14ac:dyDescent="0.15">
      <c r="A8" s="472" t="str">
        <f>+[2]rapkvart!B60</f>
        <v>Finansiella anläggningstillgångar</v>
      </c>
      <c r="B8" s="473"/>
      <c r="C8" s="474">
        <f>+[2]rapkvart!F60</f>
        <v>0.2</v>
      </c>
      <c r="D8" s="295">
        <f>+[2]rapkvart!G60</f>
        <v>0.9</v>
      </c>
      <c r="E8" s="295">
        <f>+[2]rapkvart!I60</f>
        <v>0.2</v>
      </c>
      <c r="J8" s="472" t="str">
        <f>+[2]rapkvart!$A60</f>
        <v xml:space="preserve"> Financial fixed assets</v>
      </c>
      <c r="K8" s="473"/>
      <c r="L8" s="474">
        <v>0.2</v>
      </c>
      <c r="M8" s="295">
        <v>0.9</v>
      </c>
    </row>
    <row r="9" spans="1:13" ht="9" customHeight="1" x14ac:dyDescent="0.15">
      <c r="A9" s="472" t="str">
        <f>+[2]rapkvart!B61</f>
        <v>Uppskjuten skattefordran</v>
      </c>
      <c r="B9" s="473"/>
      <c r="C9" s="474">
        <f>+[2]rapkvart!F61</f>
        <v>0.4</v>
      </c>
      <c r="D9" s="295">
        <f>+[2]rapkvart!G61</f>
        <v>0.3</v>
      </c>
      <c r="E9" s="295">
        <f>+[2]rapkvart!I61</f>
        <v>0.3</v>
      </c>
      <c r="J9" s="472" t="str">
        <f>+[2]rapkvart!$A61</f>
        <v>Deferred tax assets</v>
      </c>
      <c r="K9" s="473"/>
      <c r="L9" s="474">
        <v>0.3</v>
      </c>
      <c r="M9" s="295">
        <v>0.4</v>
      </c>
    </row>
    <row r="10" spans="1:13" ht="9" customHeight="1" x14ac:dyDescent="0.15">
      <c r="A10" s="475" t="str">
        <f>+[2]rapkvart!B62</f>
        <v>Summa anläggningstillgångar</v>
      </c>
      <c r="B10" s="258"/>
      <c r="C10" s="476">
        <f>+[2]rapkvart!F62</f>
        <v>595.6</v>
      </c>
      <c r="D10" s="477">
        <f>+[2]rapkvart!G62</f>
        <v>616.5</v>
      </c>
      <c r="E10" s="477">
        <f>+[2]rapkvart!I62</f>
        <v>613.19999999999993</v>
      </c>
      <c r="J10" s="475" t="str">
        <f>+[2]rapkvart!$A62</f>
        <v>Total fixed assets</v>
      </c>
      <c r="K10" s="258"/>
      <c r="L10" s="476">
        <v>613.19999999999993</v>
      </c>
      <c r="M10" s="477">
        <v>620.4</v>
      </c>
    </row>
    <row r="11" spans="1:13" ht="3" customHeight="1" x14ac:dyDescent="0.15">
      <c r="C11" s="456"/>
      <c r="D11" s="390"/>
      <c r="E11" s="390"/>
      <c r="K11" s="478"/>
      <c r="L11" s="456"/>
      <c r="M11" s="390"/>
    </row>
    <row r="12" spans="1:13" ht="9" customHeight="1" x14ac:dyDescent="0.15">
      <c r="A12" s="472" t="str">
        <f>+[2]rapkvart!B64</f>
        <v>Varulager</v>
      </c>
      <c r="B12" s="473"/>
      <c r="C12" s="296">
        <f>+[2]rapkvart!F64</f>
        <v>402.6</v>
      </c>
      <c r="D12" s="295">
        <f>+[2]rapkvart!G64</f>
        <v>364.7</v>
      </c>
      <c r="E12" s="295">
        <f>+[2]rapkvart!I64</f>
        <v>361.6</v>
      </c>
      <c r="J12" s="472" t="str">
        <f>+[2]rapkvart!$A64</f>
        <v xml:space="preserve"> Inventories</v>
      </c>
      <c r="K12" s="473"/>
      <c r="L12" s="296">
        <v>361.6</v>
      </c>
      <c r="M12" s="295">
        <v>352.1</v>
      </c>
    </row>
    <row r="13" spans="1:13" ht="9" customHeight="1" x14ac:dyDescent="0.15">
      <c r="A13" s="472" t="str">
        <f>+[2]rapkvart!B65</f>
        <v>Kortfristiga fordringar</v>
      </c>
      <c r="B13" s="473">
        <f>+[2]rapkvart!$C$65</f>
        <v>5</v>
      </c>
      <c r="C13" s="474">
        <f>+[2]rapkvart!F65</f>
        <v>465.3</v>
      </c>
      <c r="D13" s="295">
        <f>+[2]rapkvart!G65</f>
        <v>453.6</v>
      </c>
      <c r="E13" s="295">
        <f>+[2]rapkvart!I65</f>
        <v>375.8</v>
      </c>
      <c r="J13" s="472" t="str">
        <f>+[2]rapkvart!$A65</f>
        <v xml:space="preserve"> Current receivables</v>
      </c>
      <c r="K13" s="473">
        <v>5</v>
      </c>
      <c r="L13" s="474">
        <v>375.8</v>
      </c>
      <c r="M13" s="295">
        <v>316.7</v>
      </c>
    </row>
    <row r="14" spans="1:13" ht="9" customHeight="1" x14ac:dyDescent="0.15">
      <c r="A14" s="472" t="str">
        <f>+[2]rapkvart!B66</f>
        <v>Likvida medel</v>
      </c>
      <c r="B14" s="473"/>
      <c r="C14" s="474">
        <f>+[2]rapkvart!F66</f>
        <v>14.7</v>
      </c>
      <c r="D14" s="295">
        <f>+[2]rapkvart!G66</f>
        <v>38.5</v>
      </c>
      <c r="E14" s="295">
        <f>+[2]rapkvart!I66</f>
        <v>50</v>
      </c>
      <c r="J14" s="472" t="str">
        <f>+[2]rapkvart!$A66</f>
        <v xml:space="preserve"> Liquid assets</v>
      </c>
      <c r="K14" s="473"/>
      <c r="L14" s="474">
        <v>50</v>
      </c>
      <c r="M14" s="295">
        <v>68.7</v>
      </c>
    </row>
    <row r="15" spans="1:13" ht="9" customHeight="1" thickBot="1" x14ac:dyDescent="0.2">
      <c r="A15" s="479" t="str">
        <f>+[2]rapkvart!B67</f>
        <v>Summa omsättningstillgångar</v>
      </c>
      <c r="B15" s="480"/>
      <c r="C15" s="481">
        <f>+[2]rapkvart!F67</f>
        <v>882.60000000000014</v>
      </c>
      <c r="D15" s="482">
        <f>+[2]rapkvart!G67</f>
        <v>856.8</v>
      </c>
      <c r="E15" s="482">
        <f>+[2]rapkvart!I67</f>
        <v>787.40000000000009</v>
      </c>
      <c r="J15" s="479" t="str">
        <f>+[2]rapkvart!A67</f>
        <v>Total current assets</v>
      </c>
      <c r="K15" s="480"/>
      <c r="L15" s="481">
        <v>787.40000000000009</v>
      </c>
      <c r="M15" s="482">
        <v>737.5</v>
      </c>
    </row>
    <row r="16" spans="1:13" ht="9" customHeight="1" x14ac:dyDescent="0.15">
      <c r="A16" s="257" t="str">
        <f>+[2]rapkvart!B68</f>
        <v>Summa tillgångar</v>
      </c>
      <c r="B16" s="258"/>
      <c r="C16" s="476">
        <f>+[2]rapkvart!F68</f>
        <v>1478.2000000000003</v>
      </c>
      <c r="D16" s="477">
        <f>+[2]rapkvart!G68</f>
        <v>1473.3</v>
      </c>
      <c r="E16" s="477">
        <f>+[2]rapkvart!I68</f>
        <v>1400.6</v>
      </c>
      <c r="J16" s="257" t="str">
        <f>+[2]rapkvart!A68</f>
        <v>Total assets</v>
      </c>
      <c r="K16" s="258"/>
      <c r="L16" s="476">
        <v>1400.6</v>
      </c>
      <c r="M16" s="477">
        <v>1357.9</v>
      </c>
    </row>
    <row r="17" spans="1:13" ht="3" customHeight="1" x14ac:dyDescent="0.15">
      <c r="C17" s="456"/>
      <c r="D17" s="390"/>
      <c r="E17" s="390"/>
      <c r="K17" s="478"/>
      <c r="L17" s="456"/>
      <c r="M17" s="390"/>
    </row>
    <row r="18" spans="1:13" ht="9" customHeight="1" x14ac:dyDescent="0.15">
      <c r="A18" s="257" t="str">
        <f>+[2]rapkvart!B70</f>
        <v>Eget kapital</v>
      </c>
      <c r="B18" s="258"/>
      <c r="C18" s="456"/>
      <c r="D18" s="390"/>
      <c r="E18" s="390"/>
      <c r="J18" s="257" t="str">
        <f>+[2]rapkvart!A70</f>
        <v>Shareholders’ equity</v>
      </c>
      <c r="K18" s="258"/>
      <c r="L18" s="456"/>
      <c r="M18" s="390"/>
    </row>
    <row r="19" spans="1:13" ht="11.25" customHeight="1" x14ac:dyDescent="0.15">
      <c r="A19" s="483" t="str">
        <f>+[2]rapkvart!B71</f>
        <v>Eget kapital hänförligt till moderbolagets aktieägare</v>
      </c>
      <c r="B19" s="484"/>
      <c r="C19" s="296">
        <f>+[2]rapkvart!F71</f>
        <v>794.7</v>
      </c>
      <c r="D19" s="295">
        <f>+[2]rapkvart!G71</f>
        <v>681.69999999999993</v>
      </c>
      <c r="E19" s="295">
        <f>+[2]rapkvart!I71</f>
        <v>698.8</v>
      </c>
      <c r="J19" s="483" t="str">
        <f>+[2]rapkvart!A71</f>
        <v>Total equity attributable to the parent Company´s shareholders</v>
      </c>
      <c r="K19" s="484"/>
      <c r="L19" s="296">
        <v>698.8</v>
      </c>
      <c r="M19" s="295">
        <v>657.59999999999991</v>
      </c>
    </row>
    <row r="20" spans="1:13" ht="9" customHeight="1" x14ac:dyDescent="0.15">
      <c r="A20" s="472" t="str">
        <f>+[2]rapkvart!B72</f>
        <v>Innehav utan bestämmande inflytande</v>
      </c>
      <c r="B20" s="473"/>
      <c r="C20" s="474">
        <f>+[2]rapkvart!F72</f>
        <v>10.8</v>
      </c>
      <c r="D20" s="295">
        <f>+[2]rapkvart!G72</f>
        <v>15.2</v>
      </c>
      <c r="E20" s="295">
        <f>+[2]rapkvart!I72</f>
        <v>16</v>
      </c>
      <c r="J20" s="483" t="str">
        <f>+[2]rapkvart!A72</f>
        <v>Non-controlling interests</v>
      </c>
      <c r="K20" s="473"/>
      <c r="L20" s="474">
        <v>16</v>
      </c>
      <c r="M20" s="295">
        <v>16.7</v>
      </c>
    </row>
    <row r="21" spans="1:13" ht="9" customHeight="1" x14ac:dyDescent="0.15">
      <c r="A21" s="475" t="str">
        <f>+[2]rapkvart!B73</f>
        <v>Summa eget kapital</v>
      </c>
      <c r="B21" s="258"/>
      <c r="C21" s="476">
        <f>+[2]rapkvart!F73</f>
        <v>805.5</v>
      </c>
      <c r="D21" s="477">
        <f>+[2]rapkvart!G73</f>
        <v>696.9</v>
      </c>
      <c r="E21" s="477">
        <f>+[2]rapkvart!I73</f>
        <v>714.8</v>
      </c>
      <c r="J21" s="475" t="str">
        <f>+[2]rapkvart!A73</f>
        <v>Total equity</v>
      </c>
      <c r="K21" s="258"/>
      <c r="L21" s="476">
        <v>714.8</v>
      </c>
      <c r="M21" s="477">
        <v>674.3</v>
      </c>
    </row>
    <row r="22" spans="1:13" ht="3" hidden="1" customHeight="1" x14ac:dyDescent="0.15">
      <c r="C22" s="456"/>
      <c r="D22" s="390"/>
      <c r="E22" s="390"/>
      <c r="K22" s="478"/>
      <c r="L22" s="456"/>
      <c r="M22" s="390"/>
    </row>
    <row r="23" spans="1:13" ht="9" customHeight="1" x14ac:dyDescent="0.15">
      <c r="A23" s="257" t="str">
        <f>+[2]rapkvart!B75</f>
        <v>Skulder</v>
      </c>
      <c r="B23" s="258"/>
      <c r="C23" s="456"/>
      <c r="D23" s="390"/>
      <c r="E23" s="390"/>
      <c r="J23" s="257" t="str">
        <f>+[2]rapkvart!A75</f>
        <v>Liabilities</v>
      </c>
      <c r="K23" s="258"/>
      <c r="L23" s="456"/>
      <c r="M23" s="390"/>
    </row>
    <row r="24" spans="1:13" ht="9" customHeight="1" x14ac:dyDescent="0.15">
      <c r="A24" s="472" t="str">
        <f>+[2]rapkvart!B76</f>
        <v>Räntebärande skulder och avsättningar</v>
      </c>
      <c r="B24" s="473"/>
      <c r="C24" s="296">
        <f>+[2]rapkvart!F76</f>
        <v>65.3</v>
      </c>
      <c r="D24" s="295">
        <f>+[2]rapkvart!G76</f>
        <v>83.2</v>
      </c>
      <c r="E24" s="295">
        <f>+[2]rapkvart!I76</f>
        <v>73.7</v>
      </c>
      <c r="J24" s="472" t="str">
        <f>+[2]rapkvart!A76</f>
        <v xml:space="preserve"> Interest-bearing liabilities</v>
      </c>
      <c r="K24" s="473"/>
      <c r="L24" s="296">
        <v>73.7</v>
      </c>
      <c r="M24" s="295">
        <v>94.8</v>
      </c>
    </row>
    <row r="25" spans="1:13" ht="9" customHeight="1" x14ac:dyDescent="0.15">
      <c r="A25" s="472" t="str">
        <f>+[2]rapkvart!B77</f>
        <v>Uppskjutna skatteskulder</v>
      </c>
      <c r="B25" s="473"/>
      <c r="C25" s="474">
        <f>+[2]rapkvart!F77</f>
        <v>97.5</v>
      </c>
      <c r="D25" s="295">
        <f>+[2]rapkvart!G77</f>
        <v>92.7</v>
      </c>
      <c r="E25" s="295">
        <f>+[2]rapkvart!I77</f>
        <v>96.7</v>
      </c>
      <c r="F25" s="259">
        <f>+C25-E25</f>
        <v>0.79999999999999716</v>
      </c>
      <c r="J25" s="472" t="str">
        <f>+[2]rapkvart!A77</f>
        <v xml:space="preserve"> Interest-free liabilities</v>
      </c>
      <c r="K25" s="473"/>
      <c r="L25" s="474">
        <v>96.7</v>
      </c>
      <c r="M25" s="295">
        <v>93.5</v>
      </c>
    </row>
    <row r="26" spans="1:13" ht="9" customHeight="1" x14ac:dyDescent="0.15">
      <c r="A26" s="475" t="str">
        <f>+[2]rapkvart!B78</f>
        <v>Summa långfristiga skulder</v>
      </c>
      <c r="B26" s="258"/>
      <c r="C26" s="476">
        <f>+[2]rapkvart!F78</f>
        <v>162.80000000000001</v>
      </c>
      <c r="D26" s="477">
        <f>+[2]rapkvart!G78</f>
        <v>175.9</v>
      </c>
      <c r="E26" s="477">
        <f>+[2]rapkvart!I78</f>
        <v>170.4</v>
      </c>
      <c r="J26" s="475" t="str">
        <f>+[2]rapkvart!A78</f>
        <v>Total long-term liabilities</v>
      </c>
      <c r="K26" s="258"/>
      <c r="L26" s="476">
        <v>170.4</v>
      </c>
      <c r="M26" s="477">
        <v>188.3</v>
      </c>
    </row>
    <row r="27" spans="1:13" ht="9" customHeight="1" x14ac:dyDescent="0.15">
      <c r="A27" s="472" t="str">
        <f>+[2]rapkvart!B80</f>
        <v>Räntebärande skulder</v>
      </c>
      <c r="B27" s="473"/>
      <c r="C27" s="296">
        <f>+[2]rapkvart!F80</f>
        <v>53.5</v>
      </c>
      <c r="D27" s="295">
        <f>+[2]rapkvart!G80</f>
        <v>71.3</v>
      </c>
      <c r="E27" s="295">
        <f>+[2]rapkvart!I80</f>
        <v>150.1</v>
      </c>
      <c r="J27" s="472" t="str">
        <f>+[2]rapkvart!A80</f>
        <v xml:space="preserve"> Interest-bearing liabilities and provisions</v>
      </c>
      <c r="K27" s="473"/>
      <c r="L27" s="296">
        <v>150.1</v>
      </c>
      <c r="M27" s="295">
        <v>30.5</v>
      </c>
    </row>
    <row r="28" spans="1:13" ht="9" customHeight="1" x14ac:dyDescent="0.15">
      <c r="A28" s="472" t="str">
        <f>+[2]rapkvart!B81</f>
        <v>Ej räntebärande skulder</v>
      </c>
      <c r="B28" s="473">
        <f>+[2]rapkvart!$C$80</f>
        <v>5</v>
      </c>
      <c r="C28" s="474">
        <f>+[2]rapkvart!F81</f>
        <v>456.4</v>
      </c>
      <c r="D28" s="295">
        <f>+[2]rapkvart!G81</f>
        <v>529.20000000000005</v>
      </c>
      <c r="E28" s="295">
        <f>+[2]rapkvart!I81</f>
        <v>365.3</v>
      </c>
      <c r="F28" s="259">
        <f>+C28-E28</f>
        <v>91.099999999999966</v>
      </c>
      <c r="J28" s="472" t="str">
        <f>+[2]rapkvart!A81</f>
        <v xml:space="preserve"> Interest-free liabilities</v>
      </c>
      <c r="K28" s="473">
        <v>5</v>
      </c>
      <c r="L28" s="474">
        <v>365.3</v>
      </c>
      <c r="M28" s="295">
        <v>464.8</v>
      </c>
    </row>
    <row r="29" spans="1:13" ht="9" customHeight="1" thickBot="1" x14ac:dyDescent="0.2">
      <c r="A29" s="479" t="str">
        <f>+[2]rapkvart!B82</f>
        <v>Summa kortfristiga skulder</v>
      </c>
      <c r="B29" s="480"/>
      <c r="C29" s="481">
        <f>+[2]rapkvart!F82</f>
        <v>509.9</v>
      </c>
      <c r="D29" s="482">
        <f>+[2]rapkvart!G82</f>
        <v>600.5</v>
      </c>
      <c r="E29" s="482">
        <f>+[2]rapkvart!I82</f>
        <v>515.4</v>
      </c>
      <c r="J29" s="479" t="str">
        <f>+[2]rapkvart!A82</f>
        <v>Total short-term liabilities</v>
      </c>
      <c r="K29" s="480"/>
      <c r="L29" s="481">
        <v>515.4</v>
      </c>
      <c r="M29" s="482">
        <v>495.3</v>
      </c>
    </row>
    <row r="30" spans="1:13" ht="9" customHeight="1" x14ac:dyDescent="0.15">
      <c r="A30" s="257" t="str">
        <f>+[2]rapkvart!B83</f>
        <v>Summa eget kapital och skulder</v>
      </c>
      <c r="B30" s="258"/>
      <c r="C30" s="476">
        <f>+[2]rapkvart!F83</f>
        <v>1478.1999999999998</v>
      </c>
      <c r="D30" s="477">
        <f>+[2]rapkvart!G83</f>
        <v>1473.3</v>
      </c>
      <c r="E30" s="477">
        <f>+[2]rapkvart!I83</f>
        <v>1400.6</v>
      </c>
      <c r="J30" s="257" t="str">
        <f>+[2]rapkvart!A83</f>
        <v>Total shareholders’ equity and liabilities</v>
      </c>
      <c r="K30" s="258"/>
      <c r="L30" s="476">
        <v>1400.6</v>
      </c>
      <c r="M30" s="477">
        <v>1357.8999999999999</v>
      </c>
    </row>
    <row r="35" spans="1:13" x14ac:dyDescent="0.15">
      <c r="A35" s="259" t="s">
        <v>598</v>
      </c>
      <c r="C35" s="259">
        <f>+C12+C13-C28</f>
        <v>411.50000000000011</v>
      </c>
      <c r="D35" s="259">
        <f>+D12+D13-D28</f>
        <v>289.09999999999991</v>
      </c>
      <c r="E35" s="259">
        <f>+E12+E13-E28</f>
        <v>372.10000000000008</v>
      </c>
    </row>
    <row r="38" spans="1:13" x14ac:dyDescent="0.15">
      <c r="J38" s="451" t="s">
        <v>575</v>
      </c>
    </row>
    <row r="39" spans="1:13" x14ac:dyDescent="0.15">
      <c r="A39" s="260" t="s">
        <v>221</v>
      </c>
      <c r="B39" s="267"/>
      <c r="C39" s="261" t="str">
        <f>+C2</f>
        <v>30 jun</v>
      </c>
      <c r="D39" s="261" t="str">
        <f>+D2</f>
        <v>30 jun</v>
      </c>
      <c r="G39" s="477"/>
      <c r="J39" s="260" t="s">
        <v>218</v>
      </c>
      <c r="K39" s="267"/>
      <c r="L39" s="261" t="s">
        <v>451</v>
      </c>
      <c r="M39" s="261" t="s">
        <v>451</v>
      </c>
    </row>
    <row r="40" spans="1:13" x14ac:dyDescent="0.15">
      <c r="A40" s="273" t="s">
        <v>447</v>
      </c>
      <c r="B40" s="274"/>
      <c r="C40" s="275">
        <f>+C3</f>
        <v>2026</v>
      </c>
      <c r="D40" s="275">
        <f>+D3</f>
        <v>2025</v>
      </c>
      <c r="G40" s="485"/>
      <c r="J40" s="273" t="s">
        <v>599</v>
      </c>
      <c r="K40" s="274"/>
      <c r="L40" s="275">
        <v>2025</v>
      </c>
      <c r="M40" s="275">
        <v>2024</v>
      </c>
    </row>
    <row r="41" spans="1:13" x14ac:dyDescent="0.15">
      <c r="A41" s="257" t="str">
        <f>A4</f>
        <v>Tillgångar</v>
      </c>
      <c r="B41" s="258"/>
      <c r="C41" s="471"/>
      <c r="J41" s="262" t="str">
        <f>J77</f>
        <v>Assets</v>
      </c>
      <c r="K41" s="258"/>
      <c r="L41" s="471"/>
    </row>
    <row r="42" spans="1:13" x14ac:dyDescent="0.15">
      <c r="A42" s="472" t="str">
        <f t="shared" ref="A42:A43" si="0">A5</f>
        <v>Immateriella anläggningstillgångar</v>
      </c>
      <c r="B42" s="473"/>
      <c r="C42" s="296">
        <v>21.033955451495871</v>
      </c>
      <c r="D42" s="295">
        <v>21.033955451495871</v>
      </c>
      <c r="G42" s="390"/>
      <c r="J42" s="486" t="str">
        <f t="shared" ref="J42:J54" si="1">J78</f>
        <v xml:space="preserve"> Intangible fixed assets</v>
      </c>
      <c r="K42" s="473"/>
      <c r="L42" s="296">
        <v>21.033955451495871</v>
      </c>
      <c r="M42" s="295">
        <v>21.033955451495871</v>
      </c>
    </row>
    <row r="43" spans="1:13" x14ac:dyDescent="0.15">
      <c r="A43" s="472" t="str">
        <f t="shared" si="0"/>
        <v>Materiella anläggningstillgångar</v>
      </c>
      <c r="B43" s="487"/>
      <c r="C43" s="474">
        <v>1491.5913450999999</v>
      </c>
      <c r="D43" s="295">
        <v>1493.7913450999999</v>
      </c>
      <c r="G43" s="390"/>
      <c r="J43" s="486" t="str">
        <f t="shared" si="1"/>
        <v xml:space="preserve"> Tangible fixed assets</v>
      </c>
      <c r="K43" s="487"/>
      <c r="L43" s="474">
        <v>1491.5913450999999</v>
      </c>
      <c r="M43" s="295">
        <v>1493.7913450999999</v>
      </c>
    </row>
    <row r="44" spans="1:13" s="494" customFormat="1" ht="8.25" x14ac:dyDescent="0.15">
      <c r="A44" s="488" t="s">
        <v>458</v>
      </c>
      <c r="B44" s="489"/>
      <c r="C44" s="490">
        <v>586.94922987898235</v>
      </c>
      <c r="D44" s="491">
        <v>590.15035261000003</v>
      </c>
      <c r="E44" s="492"/>
      <c r="F44" s="492"/>
      <c r="G44" s="493"/>
      <c r="J44" s="495" t="str">
        <f t="shared" si="1"/>
        <v>of which buildings and land</v>
      </c>
      <c r="K44" s="489"/>
      <c r="L44" s="490">
        <v>586.94922987898235</v>
      </c>
      <c r="M44" s="491">
        <v>590.15035261000003</v>
      </c>
    </row>
    <row r="45" spans="1:13" s="494" customFormat="1" ht="8.25" x14ac:dyDescent="0.15">
      <c r="A45" s="488" t="s">
        <v>460</v>
      </c>
      <c r="B45" s="489"/>
      <c r="C45" s="490">
        <v>904.64211522101755</v>
      </c>
      <c r="D45" s="491">
        <v>903.64099248999992</v>
      </c>
      <c r="E45" s="492"/>
      <c r="F45" s="492"/>
      <c r="G45" s="493"/>
      <c r="J45" s="495" t="str">
        <f t="shared" si="1"/>
        <v>of which machinery and equipment</v>
      </c>
      <c r="K45" s="489"/>
      <c r="L45" s="490">
        <v>904.64211522101755</v>
      </c>
      <c r="M45" s="491">
        <v>903.64099248999992</v>
      </c>
    </row>
    <row r="46" spans="1:13" x14ac:dyDescent="0.15">
      <c r="A46" s="472" t="str">
        <f>A7</f>
        <v>Nyttjanderättstillgångar</v>
      </c>
      <c r="B46" s="473"/>
      <c r="C46" s="474">
        <v>17.8</v>
      </c>
      <c r="D46" s="295">
        <v>22</v>
      </c>
      <c r="G46" s="390"/>
      <c r="J46" s="486" t="str">
        <f t="shared" si="1"/>
        <v xml:space="preserve"> Right of use assets</v>
      </c>
      <c r="K46" s="473"/>
      <c r="L46" s="474">
        <v>17.8</v>
      </c>
      <c r="M46" s="295">
        <v>22</v>
      </c>
    </row>
    <row r="47" spans="1:13" x14ac:dyDescent="0.15">
      <c r="A47" s="472" t="str">
        <f>A8</f>
        <v>Finansiella anläggningstillgångar</v>
      </c>
      <c r="B47" s="473"/>
      <c r="C47" s="474">
        <v>0.2</v>
      </c>
      <c r="D47" s="295">
        <v>0.9</v>
      </c>
      <c r="G47" s="390"/>
      <c r="J47" s="486" t="str">
        <f t="shared" si="1"/>
        <v xml:space="preserve"> Financial fixed assets</v>
      </c>
      <c r="K47" s="473"/>
      <c r="L47" s="474">
        <v>0.2</v>
      </c>
      <c r="M47" s="295">
        <v>0.9</v>
      </c>
    </row>
    <row r="48" spans="1:13" x14ac:dyDescent="0.15">
      <c r="A48" s="472" t="str">
        <f>A9</f>
        <v>Uppskjuten skattefordran</v>
      </c>
      <c r="B48" s="473"/>
      <c r="C48" s="474">
        <v>0.3</v>
      </c>
      <c r="D48" s="295">
        <v>0.4</v>
      </c>
      <c r="G48" s="390"/>
      <c r="J48" s="486" t="str">
        <f t="shared" si="1"/>
        <v>Deferred tax assets</v>
      </c>
      <c r="K48" s="473"/>
      <c r="L48" s="474">
        <v>0.3</v>
      </c>
      <c r="M48" s="295">
        <v>0.4</v>
      </c>
    </row>
    <row r="49" spans="1:13" x14ac:dyDescent="0.15">
      <c r="A49" s="475" t="str">
        <f>A10</f>
        <v>Summa anläggningstillgångar</v>
      </c>
      <c r="B49" s="496"/>
      <c r="C49" s="476">
        <v>1530.9253005514956</v>
      </c>
      <c r="D49" s="477">
        <v>1538.1253005514959</v>
      </c>
      <c r="G49" s="477"/>
      <c r="J49" s="497" t="str">
        <f t="shared" si="1"/>
        <v>Total fixed assets</v>
      </c>
      <c r="K49" s="496"/>
      <c r="L49" s="476">
        <v>1530.9253005514956</v>
      </c>
      <c r="M49" s="477">
        <v>1538.1253005514959</v>
      </c>
    </row>
    <row r="50" spans="1:13" x14ac:dyDescent="0.15">
      <c r="A50" s="472" t="str">
        <f>A12</f>
        <v>Varulager</v>
      </c>
      <c r="B50" s="473"/>
      <c r="C50" s="296">
        <v>361.6</v>
      </c>
      <c r="D50" s="295">
        <v>352.1</v>
      </c>
      <c r="G50" s="390"/>
      <c r="J50" s="486" t="str">
        <f t="shared" si="1"/>
        <v xml:space="preserve"> Inventories</v>
      </c>
      <c r="K50" s="473"/>
      <c r="L50" s="296">
        <v>361.6</v>
      </c>
      <c r="M50" s="295">
        <v>352.1</v>
      </c>
    </row>
    <row r="51" spans="1:13" x14ac:dyDescent="0.15">
      <c r="A51" s="472" t="str">
        <f>A13</f>
        <v>Kortfristiga fordringar</v>
      </c>
      <c r="B51" s="473"/>
      <c r="C51" s="474">
        <v>375.8</v>
      </c>
      <c r="D51" s="295">
        <v>316.7</v>
      </c>
      <c r="G51" s="390"/>
      <c r="J51" s="486" t="str">
        <f t="shared" si="1"/>
        <v xml:space="preserve"> Current receivables</v>
      </c>
      <c r="K51" s="473"/>
      <c r="L51" s="474">
        <v>375.8</v>
      </c>
      <c r="M51" s="295">
        <v>316.7</v>
      </c>
    </row>
    <row r="52" spans="1:13" x14ac:dyDescent="0.15">
      <c r="A52" s="472" t="str">
        <f>A14</f>
        <v>Likvida medel</v>
      </c>
      <c r="B52" s="473"/>
      <c r="C52" s="474">
        <v>50</v>
      </c>
      <c r="D52" s="295">
        <v>68.7</v>
      </c>
      <c r="G52" s="390"/>
      <c r="J52" s="486" t="str">
        <f t="shared" si="1"/>
        <v xml:space="preserve"> Liquid assets</v>
      </c>
      <c r="K52" s="473"/>
      <c r="L52" s="474">
        <v>50</v>
      </c>
      <c r="M52" s="295">
        <v>68.7</v>
      </c>
    </row>
    <row r="53" spans="1:13" ht="9.75" thickBot="1" x14ac:dyDescent="0.2">
      <c r="A53" s="479" t="str">
        <f>A15</f>
        <v>Summa omsättningstillgångar</v>
      </c>
      <c r="B53" s="480"/>
      <c r="C53" s="481">
        <v>787.40000000000009</v>
      </c>
      <c r="D53" s="482">
        <v>737.5</v>
      </c>
      <c r="G53" s="477"/>
      <c r="J53" s="498" t="str">
        <f t="shared" si="1"/>
        <v>Total current assets</v>
      </c>
      <c r="K53" s="480"/>
      <c r="L53" s="481">
        <v>787.40000000000009</v>
      </c>
      <c r="M53" s="482">
        <v>737.5</v>
      </c>
    </row>
    <row r="54" spans="1:13" x14ac:dyDescent="0.15">
      <c r="A54" s="257" t="str">
        <f>A16</f>
        <v>Summa tillgångar</v>
      </c>
      <c r="B54" s="496"/>
      <c r="C54" s="476">
        <v>2318.3253005514957</v>
      </c>
      <c r="D54" s="477">
        <v>2275.6253005514959</v>
      </c>
      <c r="G54" s="477"/>
      <c r="J54" s="262" t="str">
        <f t="shared" si="1"/>
        <v>Total assets</v>
      </c>
      <c r="K54" s="496"/>
      <c r="L54" s="476">
        <v>2318.3253005514957</v>
      </c>
      <c r="M54" s="477">
        <v>2275.6253005514959</v>
      </c>
    </row>
    <row r="55" spans="1:13" x14ac:dyDescent="0.15">
      <c r="C55" s="456"/>
      <c r="D55" s="390"/>
      <c r="G55" s="390"/>
      <c r="J55" s="272"/>
      <c r="K55" s="478"/>
      <c r="L55" s="456"/>
      <c r="M55" s="390"/>
    </row>
    <row r="56" spans="1:13" x14ac:dyDescent="0.15">
      <c r="A56" s="257" t="str">
        <f>A18</f>
        <v>Eget kapital</v>
      </c>
      <c r="B56" s="258"/>
      <c r="C56" s="456"/>
      <c r="D56" s="390"/>
      <c r="G56" s="390"/>
      <c r="J56" s="262" t="str">
        <f t="shared" ref="J56:J62" si="2">J92</f>
        <v>Shareholders’ equity</v>
      </c>
      <c r="K56" s="258"/>
      <c r="L56" s="456"/>
      <c r="M56" s="390"/>
    </row>
    <row r="57" spans="1:13" ht="18" x14ac:dyDescent="0.15">
      <c r="A57" s="483" t="str">
        <f>A19</f>
        <v>Eget kapital hänförligt till moderbolagets aktieägare</v>
      </c>
      <c r="B57" s="487"/>
      <c r="C57" s="296">
        <v>1427.4738886378877</v>
      </c>
      <c r="D57" s="295">
        <v>1386.2738886378875</v>
      </c>
      <c r="G57" s="390"/>
      <c r="J57" s="499" t="str">
        <f t="shared" si="2"/>
        <v>Total equity attributable to the parent Company´s shareholders</v>
      </c>
      <c r="K57" s="487"/>
      <c r="L57" s="296">
        <v>1427.4738886378877</v>
      </c>
      <c r="M57" s="295">
        <v>1386.2738886378875</v>
      </c>
    </row>
    <row r="58" spans="1:13" s="494" customFormat="1" ht="8.25" x14ac:dyDescent="0.15">
      <c r="A58" s="500" t="s">
        <v>473</v>
      </c>
      <c r="B58" s="501"/>
      <c r="C58" s="502">
        <v>0.85258966959085747</v>
      </c>
      <c r="D58" s="503">
        <v>23.022182981901956</v>
      </c>
      <c r="E58" s="504"/>
      <c r="F58" s="504"/>
      <c r="G58" s="493"/>
      <c r="J58" s="505" t="str">
        <f t="shared" si="2"/>
        <v>of which total comprehensive income for the period attributable to owners of the parent</v>
      </c>
      <c r="K58" s="501"/>
      <c r="L58" s="502">
        <v>0.85258966959085747</v>
      </c>
      <c r="M58" s="503">
        <v>23.022182981901956</v>
      </c>
    </row>
    <row r="59" spans="1:13" x14ac:dyDescent="0.15">
      <c r="A59" s="472" t="str">
        <f>A20</f>
        <v>Innehav utan bestämmande inflytande</v>
      </c>
      <c r="B59" s="473"/>
      <c r="C59" s="296">
        <v>16</v>
      </c>
      <c r="D59" s="295">
        <v>16.7</v>
      </c>
      <c r="G59" s="390"/>
      <c r="J59" s="486" t="str">
        <f t="shared" si="2"/>
        <v>Non-controlling interests</v>
      </c>
      <c r="K59" s="473"/>
      <c r="L59" s="296">
        <v>16</v>
      </c>
      <c r="M59" s="295">
        <v>16.7</v>
      </c>
    </row>
    <row r="60" spans="1:13" s="494" customFormat="1" ht="8.25" x14ac:dyDescent="0.15">
      <c r="A60" s="506" t="s">
        <v>498</v>
      </c>
      <c r="B60" s="507"/>
      <c r="C60" s="508">
        <v>4.5999999999999996</v>
      </c>
      <c r="D60" s="493">
        <v>6.4</v>
      </c>
      <c r="E60" s="492"/>
      <c r="F60" s="492"/>
      <c r="G60" s="493"/>
      <c r="J60" s="509" t="str">
        <f t="shared" si="2"/>
        <v>of which total comprehensive income for the period attributable to non-controlling interests</v>
      </c>
      <c r="K60" s="507"/>
      <c r="L60" s="508">
        <v>4.5999999999999996</v>
      </c>
      <c r="M60" s="493">
        <v>6.4</v>
      </c>
    </row>
    <row r="61" spans="1:13" x14ac:dyDescent="0.15">
      <c r="A61" s="475" t="str">
        <f>A21</f>
        <v>Summa eget kapital</v>
      </c>
      <c r="B61" s="442"/>
      <c r="C61" s="476">
        <v>1443.4738886378877</v>
      </c>
      <c r="D61" s="477">
        <v>1402.9738886378875</v>
      </c>
      <c r="G61" s="477"/>
      <c r="J61" s="497" t="str">
        <f t="shared" si="2"/>
        <v>Total equity</v>
      </c>
      <c r="K61" s="442"/>
      <c r="L61" s="476">
        <v>1443.4738886378877</v>
      </c>
      <c r="M61" s="477">
        <v>1402.9738886378875</v>
      </c>
    </row>
    <row r="62" spans="1:13" x14ac:dyDescent="0.15">
      <c r="A62" s="257" t="str">
        <f t="shared" ref="A62:A69" si="3">A23</f>
        <v>Skulder</v>
      </c>
      <c r="B62" s="258"/>
      <c r="C62" s="456"/>
      <c r="D62" s="390"/>
      <c r="G62" s="390"/>
      <c r="J62" s="262" t="str">
        <f t="shared" si="2"/>
        <v>Liabilities</v>
      </c>
      <c r="K62" s="258"/>
      <c r="L62" s="456"/>
      <c r="M62" s="390"/>
    </row>
    <row r="63" spans="1:13" x14ac:dyDescent="0.15">
      <c r="A63" s="472" t="str">
        <f t="shared" si="3"/>
        <v>Räntebärande skulder och avsättningar</v>
      </c>
      <c r="B63" s="473"/>
      <c r="C63" s="296">
        <v>73.7</v>
      </c>
      <c r="D63" s="295">
        <v>94.8</v>
      </c>
      <c r="G63" s="390"/>
      <c r="J63" s="486" t="str">
        <f>J100</f>
        <v xml:space="preserve"> Interest-free liabilities</v>
      </c>
      <c r="K63" s="473"/>
      <c r="L63" s="296">
        <v>73.7</v>
      </c>
      <c r="M63" s="295">
        <v>94.8</v>
      </c>
    </row>
    <row r="64" spans="1:13" x14ac:dyDescent="0.15">
      <c r="A64" s="472" t="str">
        <f t="shared" si="3"/>
        <v>Uppskjutna skatteskulder</v>
      </c>
      <c r="B64" s="487"/>
      <c r="C64" s="474">
        <v>285.75141191360814</v>
      </c>
      <c r="D64" s="295">
        <v>282.55141191360815</v>
      </c>
      <c r="G64" s="390"/>
      <c r="J64" s="486" t="s">
        <v>600</v>
      </c>
      <c r="K64" s="487"/>
      <c r="L64" s="474">
        <v>285.75141191360814</v>
      </c>
      <c r="M64" s="295">
        <v>282.55141191360815</v>
      </c>
    </row>
    <row r="65" spans="1:14" x14ac:dyDescent="0.15">
      <c r="A65" s="475" t="str">
        <f t="shared" si="3"/>
        <v>Summa långfristiga skulder</v>
      </c>
      <c r="B65" s="496"/>
      <c r="C65" s="476">
        <v>359.45141191360813</v>
      </c>
      <c r="D65" s="477">
        <v>377.35141191360816</v>
      </c>
      <c r="G65" s="477"/>
      <c r="J65" s="497" t="str">
        <f>J101</f>
        <v>Total long-term liabilities</v>
      </c>
      <c r="K65" s="496"/>
      <c r="L65" s="476">
        <v>359.45141191360813</v>
      </c>
      <c r="M65" s="477">
        <v>377.35141191360816</v>
      </c>
    </row>
    <row r="66" spans="1:14" x14ac:dyDescent="0.15">
      <c r="A66" s="472" t="str">
        <f t="shared" si="3"/>
        <v>Räntebärande skulder</v>
      </c>
      <c r="B66" s="473"/>
      <c r="C66" s="296">
        <v>150.1</v>
      </c>
      <c r="D66" s="295">
        <v>30.5</v>
      </c>
      <c r="G66" s="390"/>
      <c r="J66" s="486" t="str">
        <f>J102</f>
        <v xml:space="preserve"> Interest-bearing liabilities and provisions</v>
      </c>
      <c r="K66" s="473"/>
      <c r="L66" s="296">
        <v>150.1</v>
      </c>
      <c r="M66" s="295">
        <v>30.5</v>
      </c>
    </row>
    <row r="67" spans="1:14" x14ac:dyDescent="0.15">
      <c r="A67" s="472" t="str">
        <f t="shared" si="3"/>
        <v>Ej räntebärande skulder</v>
      </c>
      <c r="B67" s="473"/>
      <c r="C67" s="474">
        <v>365.3</v>
      </c>
      <c r="D67" s="295">
        <v>464.8</v>
      </c>
      <c r="G67" s="390"/>
      <c r="J67" s="486" t="str">
        <f>J103</f>
        <v xml:space="preserve"> Interest-free liabilities</v>
      </c>
      <c r="K67" s="473"/>
      <c r="L67" s="474">
        <v>365.3</v>
      </c>
      <c r="M67" s="295">
        <v>464.8</v>
      </c>
    </row>
    <row r="68" spans="1:14" ht="9.75" thickBot="1" x14ac:dyDescent="0.2">
      <c r="A68" s="479" t="str">
        <f t="shared" si="3"/>
        <v>Summa kortfristiga skulder</v>
      </c>
      <c r="B68" s="510"/>
      <c r="C68" s="481">
        <v>515.4</v>
      </c>
      <c r="D68" s="482">
        <v>495.3</v>
      </c>
      <c r="G68" s="477"/>
      <c r="J68" s="498" t="str">
        <f>J104</f>
        <v>Total short-term liabilities</v>
      </c>
      <c r="K68" s="510"/>
      <c r="L68" s="481">
        <v>515.4</v>
      </c>
      <c r="M68" s="482">
        <v>495.3</v>
      </c>
    </row>
    <row r="69" spans="1:14" x14ac:dyDescent="0.15">
      <c r="A69" s="257" t="str">
        <f t="shared" si="3"/>
        <v>Summa eget kapital och skulder</v>
      </c>
      <c r="B69" s="496"/>
      <c r="C69" s="476">
        <v>2318.3253005514957</v>
      </c>
      <c r="D69" s="477">
        <v>2275.6253005514959</v>
      </c>
      <c r="G69" s="477"/>
      <c r="J69" s="262" t="str">
        <f>J105</f>
        <v>Total shareholders’ equity and liabilities</v>
      </c>
      <c r="K69" s="496"/>
      <c r="L69" s="476">
        <v>2318.3253005514957</v>
      </c>
      <c r="M69" s="477">
        <v>2275.6253005514959</v>
      </c>
    </row>
    <row r="74" spans="1:14" x14ac:dyDescent="0.15">
      <c r="J74" s="451" t="s">
        <v>575</v>
      </c>
    </row>
    <row r="75" spans="1:14" ht="18" customHeight="1" x14ac:dyDescent="0.15">
      <c r="A75" s="260" t="s">
        <v>601</v>
      </c>
      <c r="B75" s="267"/>
      <c r="C75" s="261" t="s">
        <v>213</v>
      </c>
      <c r="D75" s="261" t="s">
        <v>214</v>
      </c>
      <c r="G75" s="261" t="s">
        <v>452</v>
      </c>
      <c r="J75" s="260" t="s">
        <v>602</v>
      </c>
      <c r="K75" s="267"/>
      <c r="L75" s="511" t="s">
        <v>26</v>
      </c>
      <c r="M75" s="267" t="s">
        <v>454</v>
      </c>
      <c r="N75" s="512" t="s">
        <v>603</v>
      </c>
    </row>
    <row r="76" spans="1:14" x14ac:dyDescent="0.15">
      <c r="A76" s="273" t="s">
        <v>221</v>
      </c>
      <c r="B76" s="274"/>
      <c r="C76" s="513" t="s">
        <v>604</v>
      </c>
      <c r="D76" s="275"/>
      <c r="G76" s="513" t="s">
        <v>604</v>
      </c>
      <c r="J76" s="273" t="s">
        <v>218</v>
      </c>
      <c r="K76" s="274"/>
      <c r="L76" s="514" t="s">
        <v>604</v>
      </c>
      <c r="M76" s="275"/>
      <c r="N76" s="514" t="s">
        <v>604</v>
      </c>
    </row>
    <row r="77" spans="1:14" x14ac:dyDescent="0.15">
      <c r="A77" s="515" t="s">
        <v>605</v>
      </c>
      <c r="B77" s="258"/>
      <c r="C77" s="471"/>
      <c r="G77" s="471"/>
      <c r="J77" s="515" t="str">
        <f>J4</f>
        <v>Assets</v>
      </c>
      <c r="K77" s="258"/>
      <c r="L77" s="471"/>
      <c r="N77" s="471"/>
    </row>
    <row r="78" spans="1:14" x14ac:dyDescent="0.15">
      <c r="A78" s="516" t="s">
        <v>606</v>
      </c>
      <c r="B78" s="517"/>
      <c r="C78" s="518">
        <v>10</v>
      </c>
      <c r="D78" s="519">
        <v>11.033955451495871</v>
      </c>
      <c r="E78" s="520"/>
      <c r="F78" s="520"/>
      <c r="G78" s="518">
        <v>21.033955451495871</v>
      </c>
      <c r="J78" s="521" t="str">
        <f>J5</f>
        <v xml:space="preserve"> Intangible fixed assets</v>
      </c>
      <c r="K78" s="517"/>
      <c r="L78" s="518">
        <v>10</v>
      </c>
      <c r="M78" s="519">
        <v>11.033955451495871</v>
      </c>
      <c r="N78" s="518">
        <v>21.033955451495871</v>
      </c>
    </row>
    <row r="79" spans="1:14" x14ac:dyDescent="0.15">
      <c r="A79" s="472" t="s">
        <v>494</v>
      </c>
      <c r="B79" s="473"/>
      <c r="C79" s="296">
        <v>584.9</v>
      </c>
      <c r="D79" s="295">
        <v>906.69134509999992</v>
      </c>
      <c r="G79" s="296">
        <v>1491.5913450999999</v>
      </c>
      <c r="J79" s="486" t="str">
        <f>J6</f>
        <v xml:space="preserve"> Tangible fixed assets</v>
      </c>
      <c r="K79" s="473"/>
      <c r="L79" s="296">
        <v>584.9</v>
      </c>
      <c r="M79" s="295">
        <v>906.69134509999992</v>
      </c>
      <c r="N79" s="296">
        <v>1491.5913450999999</v>
      </c>
    </row>
    <row r="80" spans="1:14" x14ac:dyDescent="0.15">
      <c r="A80" s="522" t="s">
        <v>458</v>
      </c>
      <c r="B80" s="442"/>
      <c r="C80" s="523">
        <v>146.4988772689824</v>
      </c>
      <c r="D80" s="441">
        <v>440.45035260999998</v>
      </c>
      <c r="E80" s="363"/>
      <c r="F80" s="363"/>
      <c r="G80" s="523">
        <v>586.94922987898235</v>
      </c>
      <c r="J80" s="524" t="s">
        <v>459</v>
      </c>
      <c r="K80" s="442"/>
      <c r="L80" s="523">
        <v>146.4988772689824</v>
      </c>
      <c r="M80" s="441">
        <v>440.45035260999998</v>
      </c>
      <c r="N80" s="523">
        <v>586.94922987898235</v>
      </c>
    </row>
    <row r="81" spans="1:14" x14ac:dyDescent="0.15">
      <c r="A81" s="525" t="s">
        <v>460</v>
      </c>
      <c r="B81" s="526"/>
      <c r="C81" s="527">
        <v>438.40112273101761</v>
      </c>
      <c r="D81" s="528">
        <v>466.24099248999994</v>
      </c>
      <c r="E81" s="529"/>
      <c r="F81" s="529"/>
      <c r="G81" s="527">
        <v>904.64211522101755</v>
      </c>
      <c r="J81" s="530" t="s">
        <v>461</v>
      </c>
      <c r="K81" s="526"/>
      <c r="L81" s="527">
        <v>438.40112273101761</v>
      </c>
      <c r="M81" s="528">
        <v>466.24099248999994</v>
      </c>
      <c r="N81" s="527">
        <v>904.64211522101755</v>
      </c>
    </row>
    <row r="82" spans="1:14" x14ac:dyDescent="0.15">
      <c r="A82" s="472" t="s">
        <v>171</v>
      </c>
      <c r="B82" s="473"/>
      <c r="C82" s="296">
        <v>17.8</v>
      </c>
      <c r="D82" s="295"/>
      <c r="G82" s="296">
        <v>17.8</v>
      </c>
      <c r="J82" s="486" t="str">
        <f>J7</f>
        <v xml:space="preserve"> Right of use assets</v>
      </c>
      <c r="K82" s="473"/>
      <c r="L82" s="296">
        <v>17.8</v>
      </c>
      <c r="M82" s="295"/>
      <c r="N82" s="296">
        <v>17.8</v>
      </c>
    </row>
    <row r="83" spans="1:14" x14ac:dyDescent="0.15">
      <c r="A83" s="472" t="s">
        <v>607</v>
      </c>
      <c r="B83" s="473"/>
      <c r="C83" s="474">
        <v>0.2</v>
      </c>
      <c r="D83" s="295"/>
      <c r="G83" s="474">
        <v>0.2</v>
      </c>
      <c r="J83" s="486" t="str">
        <f>J8</f>
        <v xml:space="preserve"> Financial fixed assets</v>
      </c>
      <c r="K83" s="473"/>
      <c r="L83" s="474">
        <v>0.2</v>
      </c>
      <c r="M83" s="295"/>
      <c r="N83" s="474">
        <v>0.2</v>
      </c>
    </row>
    <row r="84" spans="1:14" x14ac:dyDescent="0.15">
      <c r="A84" s="472" t="s">
        <v>608</v>
      </c>
      <c r="B84" s="473"/>
      <c r="C84" s="474">
        <v>0.3</v>
      </c>
      <c r="D84" s="295"/>
      <c r="G84" s="474">
        <v>0.3</v>
      </c>
      <c r="J84" s="486" t="str">
        <f>J9</f>
        <v>Deferred tax assets</v>
      </c>
      <c r="K84" s="473"/>
      <c r="L84" s="474">
        <v>0.3</v>
      </c>
      <c r="M84" s="295"/>
      <c r="N84" s="474">
        <v>0.3</v>
      </c>
    </row>
    <row r="85" spans="1:14" x14ac:dyDescent="0.15">
      <c r="A85" s="475" t="s">
        <v>609</v>
      </c>
      <c r="B85" s="258"/>
      <c r="C85" s="476">
        <v>613.19999999999993</v>
      </c>
      <c r="D85" s="477">
        <v>917.72530055149582</v>
      </c>
      <c r="G85" s="476">
        <v>1530.9253005514956</v>
      </c>
      <c r="J85" s="497" t="str">
        <f>J10</f>
        <v>Total fixed assets</v>
      </c>
      <c r="K85" s="258"/>
      <c r="L85" s="476">
        <v>613.19999999999993</v>
      </c>
      <c r="M85" s="477">
        <v>917.72530055149582</v>
      </c>
      <c r="N85" s="476">
        <v>1530.9253005514956</v>
      </c>
    </row>
    <row r="86" spans="1:14" x14ac:dyDescent="0.15">
      <c r="A86" s="472" t="s">
        <v>610</v>
      </c>
      <c r="B86" s="473"/>
      <c r="C86" s="296">
        <v>361.6</v>
      </c>
      <c r="D86" s="295"/>
      <c r="G86" s="296">
        <v>361.6</v>
      </c>
      <c r="J86" s="486" t="str">
        <f>J12</f>
        <v xml:space="preserve"> Inventories</v>
      </c>
      <c r="K86" s="473"/>
      <c r="L86" s="296">
        <v>361.6</v>
      </c>
      <c r="M86" s="295"/>
      <c r="N86" s="296">
        <v>361.6</v>
      </c>
    </row>
    <row r="87" spans="1:14" x14ac:dyDescent="0.15">
      <c r="A87" s="472" t="s">
        <v>611</v>
      </c>
      <c r="B87" s="473"/>
      <c r="C87" s="474">
        <v>375.8</v>
      </c>
      <c r="D87" s="295"/>
      <c r="G87" s="474">
        <v>375.8</v>
      </c>
      <c r="J87" s="486" t="str">
        <f>J13</f>
        <v xml:space="preserve"> Current receivables</v>
      </c>
      <c r="K87" s="473"/>
      <c r="L87" s="474">
        <v>375.8</v>
      </c>
      <c r="M87" s="295"/>
      <c r="N87" s="474">
        <v>375.8</v>
      </c>
    </row>
    <row r="88" spans="1:14" x14ac:dyDescent="0.15">
      <c r="A88" s="472" t="s">
        <v>612</v>
      </c>
      <c r="B88" s="473"/>
      <c r="C88" s="474">
        <v>50</v>
      </c>
      <c r="D88" s="295"/>
      <c r="G88" s="474">
        <v>50</v>
      </c>
      <c r="J88" s="486" t="str">
        <f>J14</f>
        <v xml:space="preserve"> Liquid assets</v>
      </c>
      <c r="K88" s="473"/>
      <c r="L88" s="474">
        <v>50</v>
      </c>
      <c r="M88" s="295"/>
      <c r="N88" s="474">
        <v>50</v>
      </c>
    </row>
    <row r="89" spans="1:14" ht="9.75" thickBot="1" x14ac:dyDescent="0.2">
      <c r="A89" s="479" t="s">
        <v>613</v>
      </c>
      <c r="B89" s="480"/>
      <c r="C89" s="481">
        <v>787.40000000000009</v>
      </c>
      <c r="D89" s="482"/>
      <c r="G89" s="481">
        <v>787.40000000000009</v>
      </c>
      <c r="J89" s="498" t="str">
        <f>J15</f>
        <v>Total current assets</v>
      </c>
      <c r="K89" s="480"/>
      <c r="L89" s="481">
        <v>787.40000000000009</v>
      </c>
      <c r="M89" s="482"/>
      <c r="N89" s="481">
        <v>787.40000000000009</v>
      </c>
    </row>
    <row r="90" spans="1:14" x14ac:dyDescent="0.15">
      <c r="A90" s="257" t="s">
        <v>614</v>
      </c>
      <c r="B90" s="258"/>
      <c r="C90" s="476">
        <v>1400.6</v>
      </c>
      <c r="D90" s="477">
        <v>917.72530055149582</v>
      </c>
      <c r="G90" s="476">
        <v>2318.3253005514957</v>
      </c>
      <c r="J90" s="262" t="str">
        <f>J16</f>
        <v>Total assets</v>
      </c>
      <c r="K90" s="258"/>
      <c r="L90" s="476">
        <v>1400.6</v>
      </c>
      <c r="M90" s="477">
        <v>917.72530055149582</v>
      </c>
      <c r="N90" s="476">
        <v>2318.3253005514957</v>
      </c>
    </row>
    <row r="91" spans="1:14" x14ac:dyDescent="0.15">
      <c r="C91" s="456"/>
      <c r="D91" s="390"/>
      <c r="G91" s="456"/>
      <c r="J91" s="272"/>
      <c r="K91" s="478"/>
      <c r="L91" s="456"/>
      <c r="M91" s="390"/>
      <c r="N91" s="456"/>
    </row>
    <row r="92" spans="1:14" x14ac:dyDescent="0.15">
      <c r="A92" s="257" t="s">
        <v>615</v>
      </c>
      <c r="B92" s="258"/>
      <c r="C92" s="456"/>
      <c r="D92" s="390"/>
      <c r="G92" s="456"/>
      <c r="J92" s="262" t="str">
        <f>J18</f>
        <v>Shareholders’ equity</v>
      </c>
      <c r="K92" s="258"/>
      <c r="L92" s="456"/>
      <c r="M92" s="390"/>
      <c r="N92" s="456"/>
    </row>
    <row r="93" spans="1:14" ht="18" x14ac:dyDescent="0.15">
      <c r="A93" s="531" t="s">
        <v>616</v>
      </c>
      <c r="B93" s="532"/>
      <c r="C93" s="518">
        <v>698.8</v>
      </c>
      <c r="D93" s="519">
        <v>728.67388863788767</v>
      </c>
      <c r="E93" s="520"/>
      <c r="F93" s="520"/>
      <c r="G93" s="518">
        <v>1427.4738886378877</v>
      </c>
      <c r="J93" s="533" t="str">
        <f>J19</f>
        <v>Total equity attributable to the parent Company´s shareholders</v>
      </c>
      <c r="K93" s="532"/>
      <c r="L93" s="518">
        <v>698.8</v>
      </c>
      <c r="M93" s="519">
        <v>728.67388863788767</v>
      </c>
      <c r="N93" s="518">
        <v>1427.4738886378877</v>
      </c>
    </row>
    <row r="94" spans="1:14" x14ac:dyDescent="0.15">
      <c r="A94" s="500" t="s">
        <v>473</v>
      </c>
      <c r="B94" s="534"/>
      <c r="C94" s="502">
        <v>78.100000000000122</v>
      </c>
      <c r="D94" s="503">
        <v>-77.247410330409181</v>
      </c>
      <c r="E94" s="504"/>
      <c r="F94" s="504"/>
      <c r="G94" s="502">
        <v>0.85258966959094273</v>
      </c>
      <c r="J94" s="505" t="s">
        <v>474</v>
      </c>
      <c r="K94" s="534"/>
      <c r="L94" s="502">
        <v>78.100000000000122</v>
      </c>
      <c r="M94" s="503">
        <v>-77.247410330409181</v>
      </c>
      <c r="N94" s="502">
        <v>0.85258966959094273</v>
      </c>
    </row>
    <row r="95" spans="1:14" x14ac:dyDescent="0.15">
      <c r="A95" s="516" t="s">
        <v>346</v>
      </c>
      <c r="B95" s="517"/>
      <c r="C95" s="535">
        <v>16</v>
      </c>
      <c r="D95" s="519"/>
      <c r="E95" s="520"/>
      <c r="F95" s="520"/>
      <c r="G95" s="535">
        <v>16</v>
      </c>
      <c r="J95" s="521" t="str">
        <f>J20</f>
        <v>Non-controlling interests</v>
      </c>
      <c r="K95" s="517"/>
      <c r="L95" s="535">
        <v>16</v>
      </c>
      <c r="M95" s="519"/>
      <c r="N95" s="535">
        <v>16</v>
      </c>
    </row>
    <row r="96" spans="1:14" x14ac:dyDescent="0.15">
      <c r="A96" s="500" t="s">
        <v>475</v>
      </c>
      <c r="B96" s="534"/>
      <c r="C96" s="502">
        <v>4.5999999999999996</v>
      </c>
      <c r="D96" s="503"/>
      <c r="E96" s="504"/>
      <c r="F96" s="504"/>
      <c r="G96" s="502">
        <v>4.5999999999999996</v>
      </c>
      <c r="J96" s="505" t="s">
        <v>476</v>
      </c>
      <c r="K96" s="534"/>
      <c r="L96" s="502">
        <v>4.5999999999999996</v>
      </c>
      <c r="M96" s="503"/>
      <c r="N96" s="502">
        <v>4.5999999999999996</v>
      </c>
    </row>
    <row r="97" spans="1:14" x14ac:dyDescent="0.15">
      <c r="A97" s="475" t="s">
        <v>429</v>
      </c>
      <c r="B97" s="258"/>
      <c r="C97" s="476">
        <v>714.8</v>
      </c>
      <c r="D97" s="477">
        <v>728.67388863788767</v>
      </c>
      <c r="G97" s="476">
        <v>1443.4738886378877</v>
      </c>
      <c r="J97" s="497" t="str">
        <f>J21</f>
        <v>Total equity</v>
      </c>
      <c r="K97" s="258"/>
      <c r="L97" s="476">
        <v>714.8</v>
      </c>
      <c r="M97" s="477">
        <v>728.67388863788767</v>
      </c>
      <c r="N97" s="476">
        <v>1443.4738886378877</v>
      </c>
    </row>
    <row r="98" spans="1:14" x14ac:dyDescent="0.15">
      <c r="A98" s="257" t="s">
        <v>617</v>
      </c>
      <c r="B98" s="258"/>
      <c r="C98" s="456"/>
      <c r="D98" s="390"/>
      <c r="G98" s="456"/>
      <c r="J98" s="257" t="str">
        <f t="shared" ref="J98:J105" si="4">J23</f>
        <v>Liabilities</v>
      </c>
      <c r="K98" s="258"/>
      <c r="L98" s="456"/>
      <c r="M98" s="390"/>
      <c r="N98" s="456"/>
    </row>
    <row r="99" spans="1:14" x14ac:dyDescent="0.15">
      <c r="A99" s="472" t="s">
        <v>424</v>
      </c>
      <c r="B99" s="473"/>
      <c r="C99" s="296">
        <v>73.7</v>
      </c>
      <c r="D99" s="295"/>
      <c r="G99" s="296">
        <v>73.7</v>
      </c>
      <c r="J99" s="486" t="str">
        <f t="shared" si="4"/>
        <v xml:space="preserve"> Interest-bearing liabilities</v>
      </c>
      <c r="K99" s="473"/>
      <c r="L99" s="296">
        <v>73.7</v>
      </c>
      <c r="M99" s="295"/>
      <c r="N99" s="296">
        <v>73.7</v>
      </c>
    </row>
    <row r="100" spans="1:14" x14ac:dyDescent="0.15">
      <c r="A100" s="516" t="s">
        <v>600</v>
      </c>
      <c r="B100" s="517"/>
      <c r="C100" s="535">
        <v>96.7</v>
      </c>
      <c r="D100" s="519">
        <v>189.05141191360815</v>
      </c>
      <c r="E100" s="520"/>
      <c r="F100" s="520"/>
      <c r="G100" s="535">
        <v>285.75141191360814</v>
      </c>
      <c r="J100" s="521" t="str">
        <f t="shared" si="4"/>
        <v xml:space="preserve"> Interest-free liabilities</v>
      </c>
      <c r="K100" s="517"/>
      <c r="L100" s="535">
        <v>96.7</v>
      </c>
      <c r="M100" s="519">
        <v>189.05141191360815</v>
      </c>
      <c r="N100" s="535">
        <v>285.75141191360814</v>
      </c>
    </row>
    <row r="101" spans="1:14" x14ac:dyDescent="0.15">
      <c r="A101" s="475" t="s">
        <v>618</v>
      </c>
      <c r="B101" s="258"/>
      <c r="C101" s="476">
        <v>170.4</v>
      </c>
      <c r="D101" s="477">
        <v>189.05141191360815</v>
      </c>
      <c r="G101" s="476">
        <v>359.45141191360813</v>
      </c>
      <c r="J101" s="497" t="str">
        <f t="shared" si="4"/>
        <v>Total long-term liabilities</v>
      </c>
      <c r="K101" s="258"/>
      <c r="L101" s="476">
        <v>170.4</v>
      </c>
      <c r="M101" s="477">
        <v>189.05141191360815</v>
      </c>
      <c r="N101" s="476">
        <v>359.45141191360813</v>
      </c>
    </row>
    <row r="102" spans="1:14" x14ac:dyDescent="0.15">
      <c r="A102" s="472" t="s">
        <v>619</v>
      </c>
      <c r="B102" s="473"/>
      <c r="C102" s="296">
        <v>150.1</v>
      </c>
      <c r="D102" s="295"/>
      <c r="G102" s="296">
        <v>150.1</v>
      </c>
      <c r="J102" s="486" t="str">
        <f t="shared" si="4"/>
        <v xml:space="preserve"> Interest-bearing liabilities and provisions</v>
      </c>
      <c r="K102" s="473"/>
      <c r="L102" s="296">
        <v>150.1</v>
      </c>
      <c r="M102" s="295"/>
      <c r="N102" s="296">
        <v>150.1</v>
      </c>
    </row>
    <row r="103" spans="1:14" x14ac:dyDescent="0.15">
      <c r="A103" s="472" t="s">
        <v>620</v>
      </c>
      <c r="B103" s="473"/>
      <c r="C103" s="474">
        <v>365.3</v>
      </c>
      <c r="D103" s="295"/>
      <c r="G103" s="474">
        <v>365.3</v>
      </c>
      <c r="J103" s="486" t="str">
        <f t="shared" si="4"/>
        <v xml:space="preserve"> Interest-free liabilities</v>
      </c>
      <c r="K103" s="473"/>
      <c r="L103" s="474">
        <v>365.3</v>
      </c>
      <c r="M103" s="295"/>
      <c r="N103" s="474">
        <v>365.3</v>
      </c>
    </row>
    <row r="104" spans="1:14" ht="9.75" thickBot="1" x14ac:dyDescent="0.2">
      <c r="A104" s="479" t="s">
        <v>621</v>
      </c>
      <c r="B104" s="480"/>
      <c r="C104" s="481">
        <v>515.4</v>
      </c>
      <c r="D104" s="482"/>
      <c r="G104" s="481">
        <v>515.4</v>
      </c>
      <c r="J104" s="498" t="str">
        <f t="shared" si="4"/>
        <v>Total short-term liabilities</v>
      </c>
      <c r="K104" s="480"/>
      <c r="L104" s="481">
        <v>515.4</v>
      </c>
      <c r="M104" s="482"/>
      <c r="N104" s="481">
        <v>515.4</v>
      </c>
    </row>
    <row r="105" spans="1:14" x14ac:dyDescent="0.15">
      <c r="A105" s="257" t="s">
        <v>622</v>
      </c>
      <c r="B105" s="258"/>
      <c r="C105" s="476">
        <v>1400.6</v>
      </c>
      <c r="D105" s="477">
        <v>917.72530055149582</v>
      </c>
      <c r="G105" s="476">
        <v>2318.3253005514957</v>
      </c>
      <c r="J105" s="262" t="str">
        <f t="shared" si="4"/>
        <v>Total shareholders’ equity and liabilities</v>
      </c>
      <c r="K105" s="258"/>
      <c r="L105" s="476">
        <v>1400.6</v>
      </c>
      <c r="M105" s="477">
        <v>917.72530055149582</v>
      </c>
      <c r="N105" s="476">
        <v>2318.3253005514957</v>
      </c>
    </row>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sheetPr>
  <dimension ref="A1:P73"/>
  <sheetViews>
    <sheetView workbookViewId="0"/>
    <sheetView workbookViewId="1"/>
  </sheetViews>
  <sheetFormatPr defaultColWidth="9.140625" defaultRowHeight="9" outlineLevelCol="1" x14ac:dyDescent="0.15"/>
  <cols>
    <col min="1" max="1" width="37.5703125" style="259" bestFit="1" customWidth="1"/>
    <col min="2" max="3" width="8.140625" style="259" customWidth="1" outlineLevel="1"/>
    <col min="4" max="5" width="8.140625" style="259" customWidth="1"/>
    <col min="6" max="7" width="8.140625" style="259" hidden="1" customWidth="1" outlineLevel="1"/>
    <col min="8" max="8" width="9.140625" style="450" collapsed="1"/>
    <col min="9" max="11" width="9.140625" style="259"/>
    <col min="12" max="12" width="35.85546875" style="259" customWidth="1"/>
    <col min="13" max="16384" width="9.140625" style="259"/>
  </cols>
  <sheetData>
    <row r="1" spans="1:16" ht="11.25" customHeight="1" x14ac:dyDescent="0.15">
      <c r="A1" s="257" t="str">
        <f>+[2]rapkvart!$B$140</f>
        <v>Nyckeltal</v>
      </c>
      <c r="L1" s="451" t="s">
        <v>528</v>
      </c>
      <c r="M1" s="450"/>
      <c r="N1" s="450"/>
      <c r="O1" s="450"/>
      <c r="P1" s="450"/>
    </row>
    <row r="2" spans="1:16" ht="11.25" customHeight="1" x14ac:dyDescent="0.15">
      <c r="A2" s="276"/>
      <c r="B2" s="277" t="str">
        <f>+[2]rapkvart!D141</f>
        <v>Kvartal 2</v>
      </c>
      <c r="C2" s="277" t="str">
        <f>+[2]rapkvart!E141</f>
        <v>Kvartal 2</v>
      </c>
      <c r="D2" s="277" t="str">
        <f>+[2]rapkvart!F141</f>
        <v>Kvartal 1-2</v>
      </c>
      <c r="E2" s="452" t="str">
        <f>+[2]rapkvart!G141</f>
        <v>Kvartal 1-2</v>
      </c>
      <c r="F2" s="261" t="str">
        <f>+[2]rapkvart!H141</f>
        <v>12 mån</v>
      </c>
      <c r="G2" s="261"/>
      <c r="L2" s="276"/>
      <c r="M2" s="277" t="s">
        <v>524</v>
      </c>
      <c r="N2" s="277" t="s">
        <v>524</v>
      </c>
      <c r="O2" s="277" t="s">
        <v>525</v>
      </c>
      <c r="P2" s="452" t="s">
        <v>525</v>
      </c>
    </row>
    <row r="3" spans="1:16" x14ac:dyDescent="0.15">
      <c r="A3" s="285" t="s">
        <v>225</v>
      </c>
      <c r="B3" s="275">
        <f>+[2]rapkvart!D142</f>
        <v>2026</v>
      </c>
      <c r="C3" s="275">
        <f>+[2]rapkvart!E142</f>
        <v>2025</v>
      </c>
      <c r="D3" s="275">
        <f>+[2]rapkvart!F142</f>
        <v>2026</v>
      </c>
      <c r="E3" s="453">
        <f>+[2]rapkvart!G142</f>
        <v>2025</v>
      </c>
      <c r="F3" s="275" t="str">
        <f>+[2]rapkvart!H142</f>
        <v>rullande</v>
      </c>
      <c r="G3" s="275">
        <f>+[2]rapkvart!I142</f>
        <v>2025</v>
      </c>
      <c r="L3" s="285" t="s">
        <v>226</v>
      </c>
      <c r="M3" s="275">
        <v>2025</v>
      </c>
      <c r="N3" s="275">
        <v>2024</v>
      </c>
      <c r="O3" s="275">
        <v>2025</v>
      </c>
      <c r="P3" s="453">
        <v>2024</v>
      </c>
    </row>
    <row r="4" spans="1:16" ht="8.4499999999999993" customHeight="1" x14ac:dyDescent="0.15">
      <c r="A4" s="294" t="s">
        <v>2</v>
      </c>
      <c r="B4" s="296">
        <v>520.40000000000009</v>
      </c>
      <c r="C4" s="295">
        <v>579.50000000000023</v>
      </c>
      <c r="D4" s="296">
        <v>2329.8000000000002</v>
      </c>
      <c r="E4" s="297">
        <v>2271.8000000000002</v>
      </c>
      <c r="F4" s="261"/>
      <c r="G4" s="261"/>
      <c r="H4" s="451" t="s">
        <v>529</v>
      </c>
      <c r="L4" s="306" t="s">
        <v>223</v>
      </c>
      <c r="M4" s="296">
        <v>520.40000000000009</v>
      </c>
      <c r="N4" s="295">
        <v>579.50000000000023</v>
      </c>
      <c r="O4" s="296">
        <v>2329.8000000000002</v>
      </c>
      <c r="P4" s="297">
        <v>2271.8000000000002</v>
      </c>
    </row>
    <row r="5" spans="1:16" ht="8.4499999999999993" customHeight="1" x14ac:dyDescent="0.15">
      <c r="A5" s="294" t="s">
        <v>10</v>
      </c>
      <c r="B5" s="296">
        <v>43.400000000000091</v>
      </c>
      <c r="C5" s="295">
        <v>50.600000000000229</v>
      </c>
      <c r="D5" s="296">
        <v>237.30000000000013</v>
      </c>
      <c r="E5" s="297">
        <v>252.20000000000016</v>
      </c>
      <c r="F5" s="261"/>
      <c r="G5" s="261"/>
      <c r="H5" s="451" t="s">
        <v>529</v>
      </c>
      <c r="L5" s="306" t="s">
        <v>229</v>
      </c>
      <c r="M5" s="296">
        <v>43.400000000000091</v>
      </c>
      <c r="N5" s="295">
        <v>50.600000000000229</v>
      </c>
      <c r="O5" s="296">
        <v>237.30000000000013</v>
      </c>
      <c r="P5" s="297">
        <v>252.20000000000016</v>
      </c>
    </row>
    <row r="6" spans="1:16" ht="8.4499999999999993" customHeight="1" x14ac:dyDescent="0.15">
      <c r="A6" s="294" t="s">
        <v>238</v>
      </c>
      <c r="B6" s="296">
        <v>-6.8999999999998991</v>
      </c>
      <c r="C6" s="295">
        <v>39.000000000000227</v>
      </c>
      <c r="D6" s="296">
        <v>11.200000000000088</v>
      </c>
      <c r="E6" s="297">
        <v>90.000000000000142</v>
      </c>
      <c r="F6" s="261"/>
      <c r="G6" s="261"/>
      <c r="H6" s="451" t="s">
        <v>529</v>
      </c>
      <c r="L6" s="306" t="s">
        <v>530</v>
      </c>
      <c r="M6" s="296">
        <v>-6.8999999999998991</v>
      </c>
      <c r="N6" s="295">
        <v>39.000000000000227</v>
      </c>
      <c r="O6" s="296">
        <v>11.200000000000088</v>
      </c>
      <c r="P6" s="297">
        <v>90.000000000000142</v>
      </c>
    </row>
    <row r="7" spans="1:16" ht="8.4499999999999993" customHeight="1" x14ac:dyDescent="0.15">
      <c r="A7" s="294" t="s">
        <v>243</v>
      </c>
      <c r="B7" s="296">
        <v>12.299999999999997</v>
      </c>
      <c r="C7" s="295">
        <v>15.599999999999994</v>
      </c>
      <c r="D7" s="296">
        <v>79</v>
      </c>
      <c r="E7" s="297">
        <v>71.8</v>
      </c>
      <c r="F7" s="261"/>
      <c r="G7" s="261"/>
      <c r="H7" s="451" t="s">
        <v>529</v>
      </c>
      <c r="L7" s="306" t="s">
        <v>244</v>
      </c>
      <c r="M7" s="296">
        <v>12.299999999999997</v>
      </c>
      <c r="N7" s="295">
        <v>15.599999999999994</v>
      </c>
      <c r="O7" s="296">
        <v>79</v>
      </c>
      <c r="P7" s="297">
        <v>71.8</v>
      </c>
    </row>
    <row r="8" spans="1:16" ht="8.4499999999999993" customHeight="1" x14ac:dyDescent="0.15">
      <c r="A8" s="294"/>
      <c r="B8" s="296"/>
      <c r="C8" s="295"/>
      <c r="D8" s="296"/>
      <c r="E8" s="297"/>
      <c r="F8" s="261"/>
      <c r="G8" s="261"/>
      <c r="L8" s="306"/>
      <c r="M8" s="296"/>
      <c r="N8" s="295"/>
      <c r="O8" s="296"/>
      <c r="P8" s="297"/>
    </row>
    <row r="9" spans="1:16" ht="8.4499999999999993" customHeight="1" x14ac:dyDescent="0.15">
      <c r="A9" s="294" t="s">
        <v>21</v>
      </c>
      <c r="B9" s="296" t="s">
        <v>17</v>
      </c>
      <c r="C9" s="295" t="s">
        <v>17</v>
      </c>
      <c r="D9" s="296">
        <v>134</v>
      </c>
      <c r="E9" s="297">
        <v>273.2</v>
      </c>
      <c r="F9" s="261"/>
      <c r="G9" s="261"/>
      <c r="H9" s="451" t="s">
        <v>529</v>
      </c>
      <c r="L9" s="306" t="s">
        <v>254</v>
      </c>
      <c r="M9" s="296" t="s">
        <v>17</v>
      </c>
      <c r="N9" s="295" t="s">
        <v>17</v>
      </c>
      <c r="O9" s="296">
        <v>134</v>
      </c>
      <c r="P9" s="297">
        <v>273.2</v>
      </c>
    </row>
    <row r="10" spans="1:16" ht="8.4499999999999993" customHeight="1" x14ac:dyDescent="0.15">
      <c r="A10" s="294" t="s">
        <v>259</v>
      </c>
      <c r="B10" s="296" t="s">
        <v>17</v>
      </c>
      <c r="C10" s="295" t="s">
        <v>17</v>
      </c>
      <c r="D10" s="296">
        <v>173.8</v>
      </c>
      <c r="E10" s="297">
        <v>56.6</v>
      </c>
      <c r="F10" s="261"/>
      <c r="G10" s="261"/>
      <c r="H10" s="451" t="s">
        <v>529</v>
      </c>
      <c r="L10" s="306" t="s">
        <v>260</v>
      </c>
      <c r="M10" s="296" t="s">
        <v>17</v>
      </c>
      <c r="N10" s="295" t="s">
        <v>17</v>
      </c>
      <c r="O10" s="296">
        <v>173.8</v>
      </c>
      <c r="P10" s="297">
        <v>56.6</v>
      </c>
    </row>
    <row r="11" spans="1:16" ht="8.4499999999999993" customHeight="1" x14ac:dyDescent="0.15">
      <c r="A11" s="294" t="s">
        <v>265</v>
      </c>
      <c r="B11" s="296" t="s">
        <v>17</v>
      </c>
      <c r="C11" s="295" t="s">
        <v>17</v>
      </c>
      <c r="D11" s="296">
        <v>0.7</v>
      </c>
      <c r="E11" s="297">
        <v>0.2</v>
      </c>
      <c r="F11" s="261"/>
      <c r="G11" s="261"/>
      <c r="H11" s="451" t="s">
        <v>529</v>
      </c>
      <c r="L11" s="306" t="s">
        <v>266</v>
      </c>
      <c r="M11" s="296" t="s">
        <v>17</v>
      </c>
      <c r="N11" s="295" t="s">
        <v>17</v>
      </c>
      <c r="O11" s="296">
        <v>0.7</v>
      </c>
      <c r="P11" s="297">
        <v>0.2</v>
      </c>
    </row>
    <row r="12" spans="1:16" ht="8.4499999999999993" customHeight="1" x14ac:dyDescent="0.15">
      <c r="A12" s="294" t="s">
        <v>273</v>
      </c>
      <c r="B12" s="296" t="s">
        <v>17</v>
      </c>
      <c r="C12" s="295" t="s">
        <v>17</v>
      </c>
      <c r="D12" s="296">
        <v>223.8</v>
      </c>
      <c r="E12" s="297">
        <v>125.3</v>
      </c>
      <c r="F12" s="261"/>
      <c r="G12" s="261"/>
      <c r="H12" s="451" t="s">
        <v>529</v>
      </c>
      <c r="L12" s="306" t="s">
        <v>274</v>
      </c>
      <c r="M12" s="296" t="s">
        <v>17</v>
      </c>
      <c r="N12" s="295" t="s">
        <v>17</v>
      </c>
      <c r="O12" s="296">
        <v>223.8</v>
      </c>
      <c r="P12" s="297">
        <v>125.3</v>
      </c>
    </row>
    <row r="13" spans="1:16" ht="8.4499999999999993" customHeight="1" x14ac:dyDescent="0.15">
      <c r="A13" s="294"/>
      <c r="B13" s="296"/>
      <c r="C13" s="295"/>
      <c r="D13" s="296"/>
      <c r="E13" s="297"/>
      <c r="F13" s="261"/>
      <c r="G13" s="261"/>
      <c r="L13" s="306"/>
      <c r="M13" s="296"/>
      <c r="N13" s="295"/>
      <c r="O13" s="296"/>
      <c r="P13" s="297"/>
    </row>
    <row r="14" spans="1:16" ht="8.4499999999999993" customHeight="1" x14ac:dyDescent="0.15">
      <c r="A14" s="294" t="s">
        <v>279</v>
      </c>
      <c r="B14" s="296">
        <v>503</v>
      </c>
      <c r="C14" s="295">
        <v>500</v>
      </c>
      <c r="D14" s="296">
        <v>499</v>
      </c>
      <c r="E14" s="297">
        <v>515</v>
      </c>
      <c r="F14" s="261"/>
      <c r="G14" s="261"/>
      <c r="H14" s="451" t="s">
        <v>529</v>
      </c>
      <c r="L14" s="306" t="s">
        <v>280</v>
      </c>
      <c r="M14" s="296">
        <v>503</v>
      </c>
      <c r="N14" s="295">
        <v>500</v>
      </c>
      <c r="O14" s="296">
        <v>499</v>
      </c>
      <c r="P14" s="297">
        <v>515</v>
      </c>
    </row>
    <row r="15" spans="1:16" ht="8.4499999999999993" customHeight="1" x14ac:dyDescent="0.15">
      <c r="A15" s="294" t="s">
        <v>286</v>
      </c>
      <c r="B15" s="296">
        <v>1035</v>
      </c>
      <c r="C15" s="295">
        <v>1159</v>
      </c>
      <c r="D15" s="296">
        <v>4660</v>
      </c>
      <c r="E15" s="297">
        <v>4411</v>
      </c>
      <c r="F15" s="261"/>
      <c r="G15" s="261"/>
      <c r="H15" s="451" t="s">
        <v>529</v>
      </c>
      <c r="L15" s="306" t="s">
        <v>287</v>
      </c>
      <c r="M15" s="296">
        <v>1035</v>
      </c>
      <c r="N15" s="295">
        <v>1159</v>
      </c>
      <c r="O15" s="296">
        <v>4660</v>
      </c>
      <c r="P15" s="297">
        <v>4411</v>
      </c>
    </row>
    <row r="16" spans="1:16" ht="8.4499999999999993" customHeight="1" x14ac:dyDescent="0.15">
      <c r="A16" s="294"/>
      <c r="B16" s="296"/>
      <c r="C16" s="295"/>
      <c r="D16" s="296"/>
      <c r="E16" s="297"/>
      <c r="F16" s="261"/>
      <c r="G16" s="261"/>
      <c r="L16" s="306"/>
      <c r="M16" s="296"/>
      <c r="N16" s="295"/>
      <c r="O16" s="296"/>
      <c r="P16" s="297"/>
    </row>
    <row r="17" spans="1:16" ht="8.4499999999999993" customHeight="1" x14ac:dyDescent="0.15">
      <c r="A17" s="294" t="s">
        <v>291</v>
      </c>
      <c r="B17" s="296">
        <v>7399</v>
      </c>
      <c r="C17" s="295">
        <v>7399</v>
      </c>
      <c r="D17" s="296">
        <v>7399</v>
      </c>
      <c r="E17" s="297">
        <v>7399</v>
      </c>
      <c r="F17" s="261"/>
      <c r="G17" s="261"/>
      <c r="H17" s="451" t="s">
        <v>529</v>
      </c>
      <c r="L17" s="306" t="s">
        <v>292</v>
      </c>
      <c r="M17" s="296">
        <v>7399</v>
      </c>
      <c r="N17" s="295">
        <v>7399</v>
      </c>
      <c r="O17" s="296">
        <v>7399</v>
      </c>
      <c r="P17" s="297">
        <v>7399</v>
      </c>
    </row>
    <row r="18" spans="1:16" ht="8.4499999999999993" customHeight="1" x14ac:dyDescent="0.15">
      <c r="A18" s="454" t="s">
        <v>296</v>
      </c>
      <c r="B18" s="331">
        <v>7399</v>
      </c>
      <c r="C18" s="330">
        <v>7399</v>
      </c>
      <c r="D18" s="331">
        <v>7399</v>
      </c>
      <c r="E18" s="332">
        <v>7399</v>
      </c>
      <c r="F18" s="261"/>
      <c r="G18" s="261"/>
      <c r="H18" s="451" t="s">
        <v>529</v>
      </c>
      <c r="L18" s="455" t="s">
        <v>297</v>
      </c>
      <c r="M18" s="456">
        <v>7399</v>
      </c>
      <c r="N18" s="390">
        <v>7399</v>
      </c>
      <c r="O18" s="456">
        <v>7399</v>
      </c>
      <c r="P18" s="457">
        <v>7399</v>
      </c>
    </row>
    <row r="19" spans="1:16" x14ac:dyDescent="0.15">
      <c r="A19" s="340"/>
      <c r="B19" s="261"/>
      <c r="C19" s="261"/>
      <c r="D19" s="261"/>
      <c r="E19" s="452"/>
      <c r="F19" s="261"/>
      <c r="G19" s="261"/>
      <c r="L19" s="276"/>
      <c r="M19" s="277"/>
      <c r="N19" s="277"/>
      <c r="O19" s="277"/>
      <c r="P19" s="452"/>
    </row>
    <row r="20" spans="1:16" x14ac:dyDescent="0.15">
      <c r="A20" s="340"/>
      <c r="B20" s="261" t="str">
        <f>B2</f>
        <v>Kvartal 2</v>
      </c>
      <c r="C20" s="261" t="str">
        <f t="shared" ref="C20:E20" si="0">C2</f>
        <v>Kvartal 2</v>
      </c>
      <c r="D20" s="261" t="str">
        <f t="shared" si="0"/>
        <v>Kvartal 1-2</v>
      </c>
      <c r="E20" s="458" t="str">
        <f t="shared" si="0"/>
        <v>Kvartal 1-2</v>
      </c>
      <c r="F20" s="261"/>
      <c r="G20" s="261"/>
      <c r="L20" s="340"/>
      <c r="M20" s="261" t="s">
        <v>524</v>
      </c>
      <c r="N20" s="261" t="s">
        <v>524</v>
      </c>
      <c r="O20" s="261" t="s">
        <v>525</v>
      </c>
      <c r="P20" s="458" t="s">
        <v>525</v>
      </c>
    </row>
    <row r="21" spans="1:16" x14ac:dyDescent="0.15">
      <c r="A21" s="285" t="s">
        <v>309</v>
      </c>
      <c r="B21" s="275">
        <f>B3</f>
        <v>2026</v>
      </c>
      <c r="C21" s="275">
        <f t="shared" ref="C21:E21" si="1">C3</f>
        <v>2025</v>
      </c>
      <c r="D21" s="275">
        <f t="shared" si="1"/>
        <v>2026</v>
      </c>
      <c r="E21" s="453">
        <f t="shared" si="1"/>
        <v>2025</v>
      </c>
      <c r="F21" s="261"/>
      <c r="G21" s="261"/>
      <c r="L21" s="285" t="s">
        <v>531</v>
      </c>
      <c r="M21" s="275">
        <v>2025</v>
      </c>
      <c r="N21" s="275">
        <v>2024</v>
      </c>
      <c r="O21" s="275">
        <v>2025</v>
      </c>
      <c r="P21" s="453">
        <v>2024</v>
      </c>
    </row>
    <row r="22" spans="1:16" ht="8.4499999999999993" customHeight="1" x14ac:dyDescent="0.15">
      <c r="A22" s="306" t="s">
        <v>248</v>
      </c>
      <c r="B22" s="296">
        <v>-2.7249999999998948</v>
      </c>
      <c r="C22" s="295">
        <v>4.275000000000226</v>
      </c>
      <c r="D22" s="296">
        <v>51.311070112834841</v>
      </c>
      <c r="E22" s="297">
        <v>63.463814370000001</v>
      </c>
      <c r="F22" s="261"/>
      <c r="G22" s="261"/>
      <c r="L22" s="306" t="str">
        <f t="shared" ref="L22:L27" si="2">L45</f>
        <v>Operating income/loss, MSEK</v>
      </c>
      <c r="M22" s="296">
        <v>-2.7249999999998948</v>
      </c>
      <c r="N22" s="295">
        <v>4.275000000000226</v>
      </c>
      <c r="O22" s="296">
        <v>51.311070112834841</v>
      </c>
      <c r="P22" s="297">
        <v>63.463814370000001</v>
      </c>
    </row>
    <row r="23" spans="1:16" ht="8.4499999999999993" customHeight="1" x14ac:dyDescent="0.15">
      <c r="A23" s="306" t="s">
        <v>252</v>
      </c>
      <c r="B23" s="296">
        <f>'Koncern RR - EJ ANVÄNDA'!C74</f>
        <v>53.837350000000022</v>
      </c>
      <c r="C23" s="295">
        <f>'Koncern RR - EJ ANVÄNDA'!D74</f>
        <v>-1.1416500000001264</v>
      </c>
      <c r="D23" s="296">
        <v>2.4</v>
      </c>
      <c r="E23" s="297">
        <v>26.8</v>
      </c>
      <c r="F23" s="261"/>
      <c r="G23" s="261"/>
      <c r="L23" s="306" t="str">
        <f t="shared" si="2"/>
        <v>Net income for the period, MSEK</v>
      </c>
      <c r="M23" s="296">
        <v>-17.722449999999913</v>
      </c>
      <c r="N23" s="295">
        <v>-1.6872499999998216</v>
      </c>
      <c r="O23" s="296">
        <v>2.4</v>
      </c>
      <c r="P23" s="297">
        <v>26.8</v>
      </c>
    </row>
    <row r="24" spans="1:16" ht="8.4499999999999993" customHeight="1" x14ac:dyDescent="0.15">
      <c r="A24" s="306" t="s">
        <v>322</v>
      </c>
      <c r="B24" s="296">
        <f>'Koncern RR - EJ ANVÄNDA'!C70</f>
        <v>50.637350000000019</v>
      </c>
      <c r="C24" s="295">
        <f>'Koncern RR - EJ ANVÄNDA'!D70</f>
        <v>8.1583499999998725</v>
      </c>
      <c r="D24" s="296">
        <v>34.5</v>
      </c>
      <c r="E24" s="297">
        <v>26.8</v>
      </c>
      <c r="F24" s="261"/>
      <c r="G24" s="261"/>
      <c r="L24" s="306" t="str">
        <f t="shared" si="2"/>
        <v>Net income for the period related to continuing operations, MSEK</v>
      </c>
      <c r="M24" s="296">
        <v>-2.322449999999916</v>
      </c>
      <c r="N24" s="295">
        <v>-1.6872499999998216</v>
      </c>
      <c r="O24" s="296">
        <v>34.5</v>
      </c>
      <c r="P24" s="297">
        <v>26.8</v>
      </c>
    </row>
    <row r="25" spans="1:16" ht="8.4499999999999993" customHeight="1" x14ac:dyDescent="0.15">
      <c r="A25" s="306" t="s">
        <v>325</v>
      </c>
      <c r="B25" s="296">
        <v>-0.5</v>
      </c>
      <c r="C25" s="295">
        <v>0.7</v>
      </c>
      <c r="D25" s="296">
        <v>2.2000000000000002</v>
      </c>
      <c r="E25" s="297">
        <v>2.8</v>
      </c>
      <c r="F25" s="261"/>
      <c r="G25" s="261"/>
      <c r="I25" s="257"/>
      <c r="L25" s="306" t="str">
        <f t="shared" si="2"/>
        <v>Operating margin, %</v>
      </c>
      <c r="M25" s="296">
        <v>-0.5</v>
      </c>
      <c r="N25" s="295">
        <v>0.7</v>
      </c>
      <c r="O25" s="296">
        <v>2.2000000000000002</v>
      </c>
      <c r="P25" s="297">
        <v>2.8</v>
      </c>
    </row>
    <row r="26" spans="1:16" ht="8.4499999999999993" customHeight="1" x14ac:dyDescent="0.15">
      <c r="A26" s="306" t="s">
        <v>329</v>
      </c>
      <c r="B26" s="296">
        <f>'Koncern RR - EJ ANVÄNDA'!C68</f>
        <v>63.77500000000002</v>
      </c>
      <c r="C26" s="295">
        <f>'Koncern RR - EJ ANVÄNDA'!D68</f>
        <v>10.274999999999839</v>
      </c>
      <c r="D26" s="296">
        <v>44.411070112834842</v>
      </c>
      <c r="E26" s="297">
        <v>35.526381436999998</v>
      </c>
      <c r="F26" s="261"/>
      <c r="G26" s="261"/>
      <c r="L26" s="306" t="str">
        <f t="shared" si="2"/>
        <v>Income after financial items, MSEK</v>
      </c>
      <c r="M26" s="296">
        <v>-2.9249999999998941</v>
      </c>
      <c r="N26" s="295">
        <v>-2.1249999999997753</v>
      </c>
      <c r="O26" s="296">
        <v>44.411070112834842</v>
      </c>
      <c r="P26" s="297">
        <v>35.526381436999998</v>
      </c>
    </row>
    <row r="27" spans="1:16" ht="8.4499999999999993" customHeight="1" x14ac:dyDescent="0.15">
      <c r="A27" s="306" t="s">
        <v>331</v>
      </c>
      <c r="B27" s="296">
        <v>-0.56000000000000005</v>
      </c>
      <c r="C27" s="295">
        <v>-0.4</v>
      </c>
      <c r="D27" s="296">
        <v>1.9</v>
      </c>
      <c r="E27" s="297">
        <v>1.6</v>
      </c>
      <c r="F27" s="261"/>
      <c r="G27" s="261"/>
      <c r="L27" s="306" t="str">
        <f t="shared" si="2"/>
        <v>Profit margin, %</v>
      </c>
      <c r="M27" s="296">
        <v>-0.56000000000000005</v>
      </c>
      <c r="N27" s="295">
        <v>-0.4</v>
      </c>
      <c r="O27" s="296">
        <v>1.9</v>
      </c>
      <c r="P27" s="297">
        <v>1.6</v>
      </c>
    </row>
    <row r="28" spans="1:16" ht="8.4499999999999993" customHeight="1" x14ac:dyDescent="0.15">
      <c r="A28" s="306"/>
      <c r="B28" s="296"/>
      <c r="C28" s="295"/>
      <c r="D28" s="296"/>
      <c r="E28" s="297"/>
      <c r="F28" s="261"/>
      <c r="G28" s="261"/>
      <c r="L28" s="306"/>
      <c r="M28" s="296"/>
      <c r="N28" s="295"/>
      <c r="O28" s="296"/>
      <c r="P28" s="297"/>
    </row>
    <row r="29" spans="1:16" ht="8.4499999999999993" customHeight="1" x14ac:dyDescent="0.15">
      <c r="A29" s="306" t="s">
        <v>532</v>
      </c>
      <c r="B29" s="296">
        <v>-0.64</v>
      </c>
      <c r="C29" s="295">
        <v>-0.49049999999999999</v>
      </c>
      <c r="D29" s="296">
        <v>2.4</v>
      </c>
      <c r="E29" s="297">
        <v>1.9</v>
      </c>
      <c r="F29" s="261"/>
      <c r="G29" s="261"/>
      <c r="H29" s="451" t="s">
        <v>529</v>
      </c>
      <c r="L29" s="306" t="str">
        <f>L53</f>
        <v>Return on equity, %</v>
      </c>
      <c r="M29" s="296">
        <v>-0.64</v>
      </c>
      <c r="N29" s="295">
        <v>-0.49049999999999999</v>
      </c>
      <c r="O29" s="296">
        <v>2.4</v>
      </c>
      <c r="P29" s="297">
        <v>1.9</v>
      </c>
    </row>
    <row r="30" spans="1:16" ht="8.4499999999999993" customHeight="1" x14ac:dyDescent="0.15">
      <c r="A30" s="306" t="s">
        <v>343</v>
      </c>
      <c r="B30" s="296">
        <v>-0.42</v>
      </c>
      <c r="C30" s="295">
        <v>-0.73</v>
      </c>
      <c r="D30" s="296">
        <v>6.9886837172423819</v>
      </c>
      <c r="E30" s="297">
        <v>7.35</v>
      </c>
      <c r="F30" s="261"/>
      <c r="G30" s="261"/>
      <c r="L30" s="306" t="str">
        <f>L52</f>
        <v>Return on capital employed, %</v>
      </c>
      <c r="M30" s="296">
        <v>-0.42</v>
      </c>
      <c r="N30" s="295">
        <v>-0.73</v>
      </c>
      <c r="O30" s="296">
        <v>6.9886837172423819</v>
      </c>
      <c r="P30" s="297">
        <v>7.35</v>
      </c>
    </row>
    <row r="31" spans="1:16" ht="8.4499999999999993" customHeight="1" x14ac:dyDescent="0.15">
      <c r="A31" s="306" t="s">
        <v>304</v>
      </c>
      <c r="B31" s="296"/>
      <c r="C31" s="295"/>
      <c r="D31" s="296">
        <v>2318.3253005514957</v>
      </c>
      <c r="E31" s="297">
        <v>2275.6253005514959</v>
      </c>
      <c r="F31" s="261"/>
      <c r="G31" s="261"/>
      <c r="L31" s="306" t="str">
        <f>L56</f>
        <v>Total assets, MSEK</v>
      </c>
      <c r="M31" s="296"/>
      <c r="N31" s="295"/>
      <c r="O31" s="296">
        <v>2318.3253005514957</v>
      </c>
      <c r="P31" s="297">
        <v>2275.6253005514959</v>
      </c>
    </row>
    <row r="32" spans="1:16" ht="8.4499999999999993" customHeight="1" x14ac:dyDescent="0.15">
      <c r="A32" s="306" t="s">
        <v>34</v>
      </c>
      <c r="B32" s="296"/>
      <c r="C32" s="295"/>
      <c r="D32" s="296">
        <v>1427.5</v>
      </c>
      <c r="E32" s="297">
        <v>1386.3</v>
      </c>
      <c r="F32" s="261"/>
      <c r="G32" s="261"/>
      <c r="H32" s="451"/>
      <c r="L32" s="306" t="str">
        <f>L57</f>
        <v>Total equity attributable to the parent Company´s shareholders</v>
      </c>
      <c r="M32" s="296"/>
      <c r="N32" s="295"/>
      <c r="O32" s="296">
        <v>1427.5</v>
      </c>
      <c r="P32" s="297">
        <v>1386.3</v>
      </c>
    </row>
    <row r="33" spans="1:16" ht="8.4499999999999993" customHeight="1" x14ac:dyDescent="0.15">
      <c r="A33" s="306" t="s">
        <v>357</v>
      </c>
      <c r="B33" s="296"/>
      <c r="C33" s="295"/>
      <c r="D33" s="296">
        <v>62.3</v>
      </c>
      <c r="E33" s="297">
        <v>61.7</v>
      </c>
      <c r="F33" s="261"/>
      <c r="G33" s="261"/>
      <c r="L33" s="306" t="str">
        <f>L58</f>
        <v>Equity ratio, %</v>
      </c>
      <c r="M33" s="296"/>
      <c r="N33" s="295"/>
      <c r="O33" s="296">
        <v>62.3</v>
      </c>
      <c r="P33" s="297">
        <v>61.7</v>
      </c>
    </row>
    <row r="34" spans="1:16" ht="8.4499999999999993" customHeight="1" x14ac:dyDescent="0.15">
      <c r="A34" s="306" t="s">
        <v>362</v>
      </c>
      <c r="B34" s="296"/>
      <c r="C34" s="295"/>
      <c r="D34" s="296">
        <v>0.12040536470251334</v>
      </c>
      <c r="E34" s="297">
        <v>4.0309337134711333E-2</v>
      </c>
      <c r="F34" s="261"/>
      <c r="G34" s="261"/>
      <c r="H34" s="451" t="s">
        <v>529</v>
      </c>
      <c r="L34" s="306" t="str">
        <f>L55</f>
        <v>Net debt/equity ratio</v>
      </c>
      <c r="M34" s="296"/>
      <c r="N34" s="295"/>
      <c r="O34" s="296">
        <v>0.12040536470251334</v>
      </c>
      <c r="P34" s="297">
        <v>4.0309337134711333E-2</v>
      </c>
    </row>
    <row r="35" spans="1:16" ht="8.4499999999999993" customHeight="1" x14ac:dyDescent="0.15">
      <c r="A35" s="306" t="s">
        <v>365</v>
      </c>
      <c r="B35" s="296"/>
      <c r="C35" s="295"/>
      <c r="D35" s="296">
        <v>3.2179558011049725</v>
      </c>
      <c r="E35" s="297">
        <v>3.9115013774104681</v>
      </c>
      <c r="F35" s="261"/>
      <c r="G35" s="261"/>
      <c r="H35" s="451" t="s">
        <v>529</v>
      </c>
      <c r="L35" s="306" t="str">
        <f>L59</f>
        <v>Capital turnover</v>
      </c>
      <c r="M35" s="296"/>
      <c r="N35" s="295"/>
      <c r="O35" s="296">
        <v>3.2179558011049725</v>
      </c>
      <c r="P35" s="297">
        <v>3.9115013774104681</v>
      </c>
    </row>
    <row r="36" spans="1:16" ht="8.4499999999999993" customHeight="1" x14ac:dyDescent="0.15">
      <c r="A36" s="306" t="s">
        <v>369</v>
      </c>
      <c r="B36" s="296"/>
      <c r="C36" s="295"/>
      <c r="D36" s="296">
        <v>74.593452098520459</v>
      </c>
      <c r="E36" s="297">
        <v>73.338899630866592</v>
      </c>
      <c r="F36" s="261"/>
      <c r="G36" s="261"/>
      <c r="H36" s="451" t="s">
        <v>529</v>
      </c>
      <c r="L36" s="306" t="str">
        <f>L60</f>
        <v>Proportion of risk-bearing capital, %</v>
      </c>
      <c r="M36" s="296"/>
      <c r="N36" s="295"/>
      <c r="O36" s="296">
        <v>74.593452098520459</v>
      </c>
      <c r="P36" s="297">
        <v>73.338899630866592</v>
      </c>
    </row>
    <row r="37" spans="1:16" ht="8.4499999999999993" customHeight="1" x14ac:dyDescent="0.15">
      <c r="A37" s="306" t="s">
        <v>372</v>
      </c>
      <c r="B37" s="296">
        <v>-0.38</v>
      </c>
      <c r="C37" s="295">
        <v>-1.1599999999999999</v>
      </c>
      <c r="D37" s="296">
        <v>8.18</v>
      </c>
      <c r="E37" s="297">
        <v>5.98</v>
      </c>
      <c r="F37" s="261"/>
      <c r="G37" s="261"/>
      <c r="H37" s="451" t="s">
        <v>529</v>
      </c>
      <c r="L37" s="306" t="str">
        <f>L61</f>
        <v>Interest coverage ratio</v>
      </c>
      <c r="M37" s="296">
        <v>-0.38</v>
      </c>
      <c r="N37" s="295">
        <v>-1.1599999999999999</v>
      </c>
      <c r="O37" s="296">
        <v>8.18</v>
      </c>
      <c r="P37" s="297">
        <v>5.98</v>
      </c>
    </row>
    <row r="38" spans="1:16" ht="8.4499999999999993" customHeight="1" x14ac:dyDescent="0.15">
      <c r="A38" s="306"/>
      <c r="B38" s="296"/>
      <c r="C38" s="295"/>
      <c r="D38" s="296"/>
      <c r="E38" s="297"/>
      <c r="F38" s="261"/>
      <c r="G38" s="261"/>
      <c r="L38" s="306"/>
      <c r="M38" s="296"/>
      <c r="N38" s="295"/>
      <c r="O38" s="296"/>
      <c r="P38" s="297"/>
    </row>
    <row r="39" spans="1:16" ht="8.4499999999999993" customHeight="1" x14ac:dyDescent="0.15">
      <c r="A39" s="306" t="s">
        <v>35</v>
      </c>
      <c r="B39" s="296"/>
      <c r="C39" s="295"/>
      <c r="D39" s="296">
        <v>192.93</v>
      </c>
      <c r="E39" s="297">
        <v>187.37</v>
      </c>
      <c r="F39" s="261"/>
      <c r="G39" s="261"/>
      <c r="L39" s="306" t="str">
        <f>L66</f>
        <v>Equity per share, SEK</v>
      </c>
      <c r="M39" s="296"/>
      <c r="N39" s="295"/>
      <c r="O39" s="296">
        <v>192.93</v>
      </c>
      <c r="P39" s="297">
        <v>187.37</v>
      </c>
    </row>
    <row r="40" spans="1:16" ht="8.4499999999999993" customHeight="1" x14ac:dyDescent="0.15">
      <c r="A40" s="306" t="s">
        <v>383</v>
      </c>
      <c r="B40" s="296">
        <f>'Koncern RR - EJ ANVÄNDA'!C79</f>
        <v>6.6412818338170867</v>
      </c>
      <c r="C40" s="295">
        <f>'Koncern RR - EJ ANVÄNDA'!D79</f>
        <v>0.91344175218193169</v>
      </c>
      <c r="D40" s="296">
        <v>4.0470517004443227</v>
      </c>
      <c r="E40" s="297">
        <v>2.7554007322683298</v>
      </c>
      <c r="F40" s="261"/>
      <c r="G40" s="261"/>
      <c r="L40" s="306" t="str">
        <f>L63</f>
        <v>Earnings per share from continuing operations, SEK</v>
      </c>
      <c r="M40" s="296">
        <v>-0.42202256454614662</v>
      </c>
      <c r="N40" s="295">
        <v>-0.22804450736774962</v>
      </c>
      <c r="O40" s="296">
        <v>4.0470517004443227</v>
      </c>
      <c r="P40" s="297">
        <v>2.7554007322683298</v>
      </c>
    </row>
    <row r="41" spans="1:16" ht="8.4499999999999993" customHeight="1" x14ac:dyDescent="0.15">
      <c r="A41" s="306" t="s">
        <v>387</v>
      </c>
      <c r="B41" s="296">
        <f>'Koncern RR - EJ ANVÄNDA'!C80</f>
        <v>0.43250402938324256</v>
      </c>
      <c r="C41" s="295">
        <f>'Koncern RR - EJ ANVÄNDA'!D80</f>
        <v>-1.2569648353950484</v>
      </c>
      <c r="D41" s="296">
        <v>-4.3402610438890203</v>
      </c>
      <c r="E41" s="297">
        <v>0</v>
      </c>
      <c r="F41" s="261"/>
      <c r="G41" s="261"/>
      <c r="L41" s="306" t="str">
        <f>L64</f>
        <v>Earnings per share fom discontinued operations, SEK</v>
      </c>
      <c r="M41" s="296">
        <v>-2.0814256414068542</v>
      </c>
      <c r="N41" s="295">
        <v>0</v>
      </c>
      <c r="O41" s="296">
        <v>-4.3402610438890203</v>
      </c>
      <c r="P41" s="297">
        <v>0</v>
      </c>
    </row>
    <row r="42" spans="1:16" ht="8.4499999999999993" customHeight="1" x14ac:dyDescent="0.15">
      <c r="A42" s="306" t="s">
        <v>390</v>
      </c>
      <c r="B42" s="296">
        <f>'Koncern RR - EJ ANVÄNDA'!C81</f>
        <v>7.073785863200329</v>
      </c>
      <c r="C42" s="295">
        <f>'Koncern RR - EJ ANVÄNDA'!D81</f>
        <v>-0.34352308321311675</v>
      </c>
      <c r="D42" s="296">
        <v>-0.29355873844589908</v>
      </c>
      <c r="E42" s="297">
        <v>2.7554007322683298</v>
      </c>
      <c r="F42" s="261"/>
      <c r="G42" s="261"/>
      <c r="L42" s="455" t="str">
        <f>L65</f>
        <v>Earnings per share, kr</v>
      </c>
      <c r="M42" s="456">
        <v>-2.503448205953001</v>
      </c>
      <c r="N42" s="390">
        <v>-0.22804450736774962</v>
      </c>
      <c r="O42" s="456">
        <v>-0.29355873844589908</v>
      </c>
      <c r="P42" s="457">
        <v>2.7554007322683298</v>
      </c>
    </row>
    <row r="43" spans="1:16" x14ac:dyDescent="0.15">
      <c r="A43" s="276"/>
      <c r="B43" s="277" t="str">
        <f>B20</f>
        <v>Kvartal 2</v>
      </c>
      <c r="C43" s="277" t="str">
        <f t="shared" ref="C43:E43" si="3">C20</f>
        <v>Kvartal 2</v>
      </c>
      <c r="D43" s="277" t="str">
        <f t="shared" si="3"/>
        <v>Kvartal 1-2</v>
      </c>
      <c r="E43" s="452" t="str">
        <f t="shared" si="3"/>
        <v>Kvartal 1-2</v>
      </c>
      <c r="F43" s="261"/>
      <c r="G43" s="261"/>
      <c r="L43" s="276"/>
      <c r="M43" s="277" t="s">
        <v>524</v>
      </c>
      <c r="N43" s="277" t="s">
        <v>524</v>
      </c>
      <c r="O43" s="277" t="s">
        <v>525</v>
      </c>
      <c r="P43" s="452" t="s">
        <v>525</v>
      </c>
    </row>
    <row r="44" spans="1:16" x14ac:dyDescent="0.15">
      <c r="A44" s="285" t="s">
        <v>399</v>
      </c>
      <c r="B44" s="275">
        <f>B21</f>
        <v>2026</v>
      </c>
      <c r="C44" s="275">
        <f t="shared" ref="C44:G44" si="4">C21</f>
        <v>2025</v>
      </c>
      <c r="D44" s="275">
        <f t="shared" si="4"/>
        <v>2026</v>
      </c>
      <c r="E44" s="453">
        <f t="shared" si="4"/>
        <v>2025</v>
      </c>
      <c r="F44" s="261">
        <f t="shared" si="4"/>
        <v>0</v>
      </c>
      <c r="G44" s="261">
        <f t="shared" si="4"/>
        <v>0</v>
      </c>
      <c r="L44" s="285" t="s">
        <v>533</v>
      </c>
      <c r="M44" s="275">
        <v>2025</v>
      </c>
      <c r="N44" s="275">
        <v>2024</v>
      </c>
      <c r="O44" s="275">
        <v>2025</v>
      </c>
      <c r="P44" s="453">
        <v>2024</v>
      </c>
    </row>
    <row r="45" spans="1:16" ht="8.4499999999999993" customHeight="1" x14ac:dyDescent="0.15">
      <c r="A45" s="294" t="str">
        <f>+[2]rapkvart!B145</f>
        <v>Rörelseresultat, Mkr</v>
      </c>
      <c r="B45" s="296">
        <f>+[2]rapkvart!D145</f>
        <v>92.400000000000063</v>
      </c>
      <c r="C45" s="295">
        <f>+[2]rapkvart!E145</f>
        <v>40.399999999999849</v>
      </c>
      <c r="D45" s="296">
        <f>+[2]rapkvart!F145</f>
        <v>142.80000000000004</v>
      </c>
      <c r="E45" s="297">
        <f>+[2]rapkvart!G145</f>
        <v>97.89999999999992</v>
      </c>
      <c r="F45" s="295">
        <f>+[2]rapkvart!H145</f>
        <v>193.5</v>
      </c>
      <c r="G45" s="295">
        <f>+[2]rapkvart!I145</f>
        <v>148.60000000000011</v>
      </c>
      <c r="L45" s="459" t="str">
        <f>[2]rapkvart!A145</f>
        <v>Operating income/loss, MSEK</v>
      </c>
      <c r="M45" s="460">
        <v>21.600000000000094</v>
      </c>
      <c r="N45" s="461">
        <v>28.600000000000229</v>
      </c>
      <c r="O45" s="460">
        <v>148.60000000000011</v>
      </c>
      <c r="P45" s="462">
        <v>160.80000000000015</v>
      </c>
    </row>
    <row r="46" spans="1:16" ht="8.4499999999999993" customHeight="1" x14ac:dyDescent="0.15">
      <c r="A46" s="294" t="s">
        <v>252</v>
      </c>
      <c r="B46" s="296">
        <v>-1.1000000000000001</v>
      </c>
      <c r="C46" s="295">
        <v>12.2</v>
      </c>
      <c r="D46" s="296">
        <v>78.099999999999994</v>
      </c>
      <c r="E46" s="297">
        <v>100.1</v>
      </c>
      <c r="F46" s="295"/>
      <c r="G46" s="295"/>
      <c r="H46" s="451" t="s">
        <v>529</v>
      </c>
      <c r="L46" s="306" t="s">
        <v>318</v>
      </c>
      <c r="M46" s="296">
        <v>-1.1000000000000001</v>
      </c>
      <c r="N46" s="295">
        <v>12.2</v>
      </c>
      <c r="O46" s="296">
        <v>78.099999999999994</v>
      </c>
      <c r="P46" s="297">
        <v>100.1</v>
      </c>
    </row>
    <row r="47" spans="1:16" ht="8.4499999999999993" customHeight="1" x14ac:dyDescent="0.15">
      <c r="A47" s="294" t="s">
        <v>322</v>
      </c>
      <c r="B47" s="296">
        <v>14.3</v>
      </c>
      <c r="C47" s="295">
        <v>12.2</v>
      </c>
      <c r="D47" s="296">
        <v>110.2</v>
      </c>
      <c r="E47" s="297">
        <v>100.1</v>
      </c>
      <c r="F47" s="295"/>
      <c r="G47" s="295"/>
      <c r="H47" s="451" t="s">
        <v>529</v>
      </c>
      <c r="L47" s="306" t="s">
        <v>258</v>
      </c>
      <c r="M47" s="296">
        <v>14.3</v>
      </c>
      <c r="N47" s="295">
        <v>12.2</v>
      </c>
      <c r="O47" s="296">
        <v>110.2</v>
      </c>
      <c r="P47" s="297">
        <v>100.1</v>
      </c>
    </row>
    <row r="48" spans="1:16" ht="8.4499999999999993" customHeight="1" x14ac:dyDescent="0.15">
      <c r="A48" s="294" t="str">
        <f>+[2]rapkvart!B146</f>
        <v>Rörelsemarginal, %</v>
      </c>
      <c r="B48" s="296">
        <f>+[2]rapkvart!D146</f>
        <v>13.494961296918371</v>
      </c>
      <c r="C48" s="295">
        <f>+[2]rapkvart!E146</f>
        <v>6.0119047619047405</v>
      </c>
      <c r="D48" s="296">
        <f>+[2]rapkvart!F146</f>
        <v>11</v>
      </c>
      <c r="E48" s="297">
        <f>+[2]rapkvart!G146</f>
        <v>7.464165904239092</v>
      </c>
      <c r="F48" s="295">
        <f>+[2]rapkvart!H146</f>
        <v>8.3675675675675674</v>
      </c>
      <c r="G48" s="295">
        <f>+[2]rapkvart!I146</f>
        <v>6.3782298909777699</v>
      </c>
      <c r="L48" s="306" t="str">
        <f>[2]rapkvart!A146</f>
        <v>Operating margin, %</v>
      </c>
      <c r="M48" s="296">
        <v>4.1506533435818778</v>
      </c>
      <c r="N48" s="295">
        <v>4.9352890422778639</v>
      </c>
      <c r="O48" s="296">
        <v>6.3782298909777699</v>
      </c>
      <c r="P48" s="297">
        <v>7.078087859846824</v>
      </c>
    </row>
    <row r="49" spans="1:16" ht="8.4499999999999993" customHeight="1" x14ac:dyDescent="0.15">
      <c r="A49" s="294" t="str">
        <f>+[2]rapkvart!B147</f>
        <v>Resultat före skatt, Mkr</v>
      </c>
      <c r="B49" s="296">
        <f>+[2]rapkvart!D147</f>
        <v>88.100000000000065</v>
      </c>
      <c r="C49" s="295">
        <f>+[2]rapkvart!E147</f>
        <v>34.599999999999852</v>
      </c>
      <c r="D49" s="296">
        <f>+[2]rapkvart!F147</f>
        <v>135.30000000000004</v>
      </c>
      <c r="E49" s="297">
        <f>+[2]rapkvart!G147</f>
        <v>93.499999999999915</v>
      </c>
      <c r="F49" s="295">
        <f>+[2]rapkvart!H147</f>
        <v>183.5</v>
      </c>
      <c r="G49" s="295">
        <f>+[2]rapkvart!I147</f>
        <v>141.7000000000001</v>
      </c>
      <c r="L49" s="306" t="str">
        <f>[2]rapkvart!A147</f>
        <v>Income after financial items, MSEK</v>
      </c>
      <c r="M49" s="296">
        <v>21.400000000000095</v>
      </c>
      <c r="N49" s="295">
        <v>22.200000000000227</v>
      </c>
      <c r="O49" s="296">
        <v>141.7000000000001</v>
      </c>
      <c r="P49" s="297">
        <v>132.90000000000015</v>
      </c>
    </row>
    <row r="50" spans="1:16" ht="8.4499999999999993" customHeight="1" x14ac:dyDescent="0.15">
      <c r="A50" s="294" t="str">
        <f>+[2]rapkvart!B148</f>
        <v>Resultatmarginal, %</v>
      </c>
      <c r="B50" s="296">
        <f>+[2]rapkvart!D148</f>
        <v>12.866949028771735</v>
      </c>
      <c r="C50" s="295">
        <f>+[2]rapkvart!E148</f>
        <v>5.1488095238095024</v>
      </c>
      <c r="D50" s="296">
        <f>+[2]rapkvart!F148</f>
        <v>10.4</v>
      </c>
      <c r="E50" s="297">
        <f>+[2]rapkvart!G148</f>
        <v>7.1286977737114912</v>
      </c>
      <c r="F50" s="295">
        <f>+[2]rapkvart!H148</f>
        <v>7.9351351351351349</v>
      </c>
      <c r="G50" s="295">
        <f>+[2]rapkvart!I148</f>
        <v>6.0820671302257745</v>
      </c>
      <c r="L50" s="306" t="str">
        <f>[2]rapkvart!A148</f>
        <v>Profit margin, %</v>
      </c>
      <c r="M50" s="296">
        <v>4.1122213681783419</v>
      </c>
      <c r="N50" s="295">
        <v>3.8308886971527554</v>
      </c>
      <c r="O50" s="296">
        <v>6.0820671302257745</v>
      </c>
      <c r="P50" s="297">
        <v>5.8499867946122084</v>
      </c>
    </row>
    <row r="51" spans="1:16" ht="8.4499999999999993" customHeight="1" x14ac:dyDescent="0.15">
      <c r="A51" s="294"/>
      <c r="B51" s="296"/>
      <c r="C51" s="295"/>
      <c r="D51" s="296"/>
      <c r="E51" s="297"/>
      <c r="F51" s="295"/>
      <c r="G51" s="295"/>
      <c r="L51" s="306"/>
      <c r="M51" s="296"/>
      <c r="N51" s="295"/>
      <c r="O51" s="296"/>
      <c r="P51" s="297"/>
    </row>
    <row r="52" spans="1:16" ht="8.4499999999999993" customHeight="1" x14ac:dyDescent="0.15">
      <c r="A52" s="294" t="s">
        <v>343</v>
      </c>
      <c r="B52" s="296">
        <f>+[2]rapkvart!D151</f>
        <v>39.1</v>
      </c>
      <c r="C52" s="295">
        <f>+[2]rapkvart!E151</f>
        <v>17</v>
      </c>
      <c r="D52" s="296">
        <f>+[2]rapkvart!F151</f>
        <v>30</v>
      </c>
      <c r="E52" s="297">
        <f>+[2]rapkvart!G151</f>
        <v>23.3</v>
      </c>
      <c r="F52" s="295">
        <f>+[2]rapkvart!H151</f>
        <v>21.5</v>
      </c>
      <c r="G52" s="295">
        <f>+[2]rapkvart!I151</f>
        <v>17</v>
      </c>
      <c r="L52" s="306" t="str">
        <f>[2]rapkvart!A151</f>
        <v>Return on capital employed, %</v>
      </c>
      <c r="M52" s="296">
        <v>10.199999999999999</v>
      </c>
      <c r="N52" s="295">
        <v>11.6</v>
      </c>
      <c r="O52" s="296">
        <v>17</v>
      </c>
      <c r="P52" s="297">
        <v>17.899999999999999</v>
      </c>
    </row>
    <row r="53" spans="1:16" ht="8.4499999999999993" customHeight="1" x14ac:dyDescent="0.15">
      <c r="A53" s="294" t="s">
        <v>534</v>
      </c>
      <c r="B53" s="296">
        <v>8.1999999999999993</v>
      </c>
      <c r="C53" s="295">
        <v>7.4</v>
      </c>
      <c r="D53" s="296">
        <v>15.8</v>
      </c>
      <c r="E53" s="297">
        <v>15.2</v>
      </c>
      <c r="F53" s="295"/>
      <c r="G53" s="295"/>
      <c r="H53" s="451" t="s">
        <v>529</v>
      </c>
      <c r="L53" s="306" t="str">
        <f>[2]rapkvart!A150</f>
        <v>Return on equity, %</v>
      </c>
      <c r="M53" s="296">
        <v>8.1999999999999993</v>
      </c>
      <c r="N53" s="295">
        <v>7.4</v>
      </c>
      <c r="O53" s="296">
        <v>15.8</v>
      </c>
      <c r="P53" s="297">
        <v>15.2</v>
      </c>
    </row>
    <row r="54" spans="1:16" ht="8.4499999999999993" customHeight="1" x14ac:dyDescent="0.15">
      <c r="A54" s="294"/>
      <c r="B54" s="296"/>
      <c r="C54" s="295"/>
      <c r="D54" s="296"/>
      <c r="E54" s="297"/>
      <c r="F54" s="295"/>
      <c r="G54" s="295"/>
      <c r="H54" s="451"/>
      <c r="L54" s="306"/>
      <c r="M54" s="296"/>
      <c r="N54" s="295"/>
      <c r="O54" s="296"/>
      <c r="P54" s="297"/>
    </row>
    <row r="55" spans="1:16" ht="8.4499999999999993" customHeight="1" x14ac:dyDescent="0.15">
      <c r="A55" s="294" t="str">
        <f>+[2]rapkvart!B159</f>
        <v>Nettoskuldsättningsgrad, ggr</v>
      </c>
      <c r="B55" s="296" t="str">
        <f>+[2]rapkvart!D159</f>
        <v>-</v>
      </c>
      <c r="C55" s="295" t="str">
        <f>+[2]rapkvart!E159</f>
        <v>-</v>
      </c>
      <c r="D55" s="296">
        <f>+[2]rapkvart!F159</f>
        <v>0.13</v>
      </c>
      <c r="E55" s="297">
        <f>+[2]rapkvart!G159</f>
        <v>0.17</v>
      </c>
      <c r="F55" s="295" t="str">
        <f>+[2]rapkvart!H158</f>
        <v>-</v>
      </c>
      <c r="G55" s="295">
        <f>+[2]rapkvart!I158</f>
        <v>223.8</v>
      </c>
      <c r="L55" s="306" t="str">
        <f>+[2]rapkvart!A159</f>
        <v>Net debt/equity ratio</v>
      </c>
      <c r="M55" s="296" t="s">
        <v>17</v>
      </c>
      <c r="N55" s="295" t="s">
        <v>17</v>
      </c>
      <c r="O55" s="296">
        <v>0.24</v>
      </c>
      <c r="P55" s="297">
        <v>0.08</v>
      </c>
    </row>
    <row r="56" spans="1:16" ht="8.4499999999999993" customHeight="1" x14ac:dyDescent="0.15">
      <c r="A56" s="294" t="str">
        <f>+[2]rapkvart!B161</f>
        <v>Balansomslutning, Mkr</v>
      </c>
      <c r="B56" s="296" t="str">
        <f>+[2]rapkvart!D161</f>
        <v>-</v>
      </c>
      <c r="C56" s="295" t="str">
        <f>+[2]rapkvart!E161</f>
        <v>-</v>
      </c>
      <c r="D56" s="296">
        <f>+[2]rapkvart!F161</f>
        <v>1478.2</v>
      </c>
      <c r="E56" s="297">
        <f>+[2]rapkvart!G161</f>
        <v>1473.3</v>
      </c>
      <c r="F56" s="295"/>
      <c r="G56" s="295"/>
      <c r="L56" s="306" t="str">
        <f>[2]rapkvart!A161</f>
        <v>Total assets, MSEK</v>
      </c>
      <c r="M56" s="296" t="s">
        <v>17</v>
      </c>
      <c r="N56" s="295" t="s">
        <v>17</v>
      </c>
      <c r="O56" s="296">
        <v>1400.6</v>
      </c>
      <c r="P56" s="297">
        <v>1357.8999999999999</v>
      </c>
    </row>
    <row r="57" spans="1:16" ht="13.5" customHeight="1" x14ac:dyDescent="0.15">
      <c r="A57" s="294" t="s">
        <v>34</v>
      </c>
      <c r="B57" s="296" t="s">
        <v>17</v>
      </c>
      <c r="C57" s="295" t="s">
        <v>17</v>
      </c>
      <c r="D57" s="296">
        <v>698.8</v>
      </c>
      <c r="E57" s="297">
        <v>657.6</v>
      </c>
      <c r="F57" s="295" t="str">
        <f>+[2]rapkvart!H161</f>
        <v>-</v>
      </c>
      <c r="G57" s="295">
        <f>+[2]rapkvart!I161</f>
        <v>1400.6</v>
      </c>
      <c r="L57" s="306" t="str">
        <f>[2]rapkvart!A71</f>
        <v>Total equity attributable to the parent Company´s shareholders</v>
      </c>
      <c r="M57" s="296" t="s">
        <v>17</v>
      </c>
      <c r="N57" s="295" t="s">
        <v>17</v>
      </c>
      <c r="O57" s="296">
        <v>698.8</v>
      </c>
      <c r="P57" s="297">
        <v>657.6</v>
      </c>
    </row>
    <row r="58" spans="1:16" ht="8.4499999999999993" customHeight="1" x14ac:dyDescent="0.15">
      <c r="A58" s="294" t="str">
        <f>+[2]rapkvart!B162</f>
        <v>Soliditet, %</v>
      </c>
      <c r="B58" s="296" t="str">
        <f>+[2]rapkvart!D162</f>
        <v>-</v>
      </c>
      <c r="C58" s="295" t="str">
        <f>+[2]rapkvart!E162</f>
        <v>-</v>
      </c>
      <c r="D58" s="296">
        <f>+[2]rapkvart!F162</f>
        <v>54.5</v>
      </c>
      <c r="E58" s="297">
        <f>+[2]rapkvart!G162</f>
        <v>47.5</v>
      </c>
      <c r="F58" s="295"/>
      <c r="G58" s="295"/>
      <c r="H58" s="451" t="s">
        <v>529</v>
      </c>
      <c r="L58" s="306" t="str">
        <f>[2]rapkvart!A162</f>
        <v>Equity ratio, %</v>
      </c>
      <c r="M58" s="296" t="s">
        <v>17</v>
      </c>
      <c r="N58" s="295" t="s">
        <v>17</v>
      </c>
      <c r="O58" s="296">
        <v>51</v>
      </c>
      <c r="P58" s="297">
        <v>49.7</v>
      </c>
    </row>
    <row r="59" spans="1:16" ht="8.4499999999999993" customHeight="1" x14ac:dyDescent="0.15">
      <c r="A59" s="294" t="str">
        <f>+[2]rapkvart!B163</f>
        <v>Kapitalomsättningshastighet, ggr</v>
      </c>
      <c r="B59" s="296" t="str">
        <f>+[2]rapkvart!D163</f>
        <v>-</v>
      </c>
      <c r="C59" s="295" t="str">
        <f>+[2]rapkvart!E163</f>
        <v>-</v>
      </c>
      <c r="D59" s="296">
        <f>+[2]rapkvart!F163</f>
        <v>2.8</v>
      </c>
      <c r="E59" s="297">
        <f>+[2]rapkvart!G163</f>
        <v>3.2</v>
      </c>
      <c r="F59" s="295" t="str">
        <f>+[2]rapkvart!H162</f>
        <v>-</v>
      </c>
      <c r="G59" s="295">
        <f>+[2]rapkvart!I162</f>
        <v>51</v>
      </c>
      <c r="L59" s="306" t="str">
        <f>[2]rapkvart!A163</f>
        <v>Capital turnover</v>
      </c>
      <c r="M59" s="296" t="s">
        <v>17</v>
      </c>
      <c r="N59" s="295" t="s">
        <v>17</v>
      </c>
      <c r="O59" s="296">
        <v>2.7</v>
      </c>
      <c r="P59" s="297">
        <v>2.9</v>
      </c>
    </row>
    <row r="60" spans="1:16" ht="8.4499999999999993" customHeight="1" x14ac:dyDescent="0.15">
      <c r="A60" s="294" t="str">
        <f>+[2]rapkvart!B164</f>
        <v>Andel riskbärande kapital, %</v>
      </c>
      <c r="B60" s="296" t="str">
        <f>+[2]rapkvart!D164</f>
        <v>-</v>
      </c>
      <c r="C60" s="295" t="str">
        <f>+[2]rapkvart!E164</f>
        <v>-</v>
      </c>
      <c r="D60" s="296">
        <f>+[2]rapkvart!F164</f>
        <v>61.1</v>
      </c>
      <c r="E60" s="297">
        <f>+[2]rapkvart!G164</f>
        <v>53.8</v>
      </c>
      <c r="F60" s="295">
        <f>+[2]rapkvart!H163</f>
        <v>2.6</v>
      </c>
      <c r="G60" s="295">
        <f>+[2]rapkvart!I163</f>
        <v>2.7</v>
      </c>
      <c r="L60" s="306" t="str">
        <f>[2]rapkvart!A164</f>
        <v>Proportion of risk-bearing capital, %</v>
      </c>
      <c r="M60" s="296" t="s">
        <v>17</v>
      </c>
      <c r="N60" s="295" t="s">
        <v>17</v>
      </c>
      <c r="O60" s="296">
        <v>57.9</v>
      </c>
      <c r="P60" s="297">
        <v>56.5</v>
      </c>
    </row>
    <row r="61" spans="1:16" ht="8.4499999999999993" customHeight="1" x14ac:dyDescent="0.15">
      <c r="A61" s="294" t="str">
        <f>+[2]rapkvart!B165</f>
        <v>Räntetäckningsgrad, ggr</v>
      </c>
      <c r="B61" s="296">
        <f>+[2]rapkvart!D165</f>
        <v>38.6</v>
      </c>
      <c r="C61" s="295">
        <f>+[2]rapkvart!E165</f>
        <v>26.9</v>
      </c>
      <c r="D61" s="296">
        <f>+[2]rapkvart!F165</f>
        <v>32.5</v>
      </c>
      <c r="E61" s="297">
        <f>+[2]rapkvart!G165</f>
        <v>33.799999999999997</v>
      </c>
      <c r="F61" s="295" t="str">
        <f>+[2]rapkvart!H164</f>
        <v>-</v>
      </c>
      <c r="G61" s="295">
        <f>+[2]rapkvart!I164</f>
        <v>57.9</v>
      </c>
      <c r="L61" s="306" t="str">
        <f>[2]rapkvart!A165</f>
        <v>Interest coverage ratio</v>
      </c>
      <c r="M61" s="296">
        <v>11.2</v>
      </c>
      <c r="N61" s="295">
        <v>23.9</v>
      </c>
      <c r="O61" s="296">
        <v>23.9</v>
      </c>
      <c r="P61" s="297">
        <v>19.600000000000001</v>
      </c>
    </row>
    <row r="62" spans="1:16" ht="8.4499999999999993" customHeight="1" x14ac:dyDescent="0.15">
      <c r="A62" s="294"/>
      <c r="B62" s="296"/>
      <c r="C62" s="295"/>
      <c r="D62" s="296"/>
      <c r="E62" s="297"/>
      <c r="F62" s="295">
        <f>+[2]rapkvart!H165</f>
        <v>25.1</v>
      </c>
      <c r="G62" s="295">
        <f>+[2]rapkvart!I165</f>
        <v>23.9</v>
      </c>
      <c r="L62" s="306"/>
      <c r="M62" s="296"/>
      <c r="N62" s="295"/>
      <c r="O62" s="296"/>
      <c r="P62" s="297"/>
    </row>
    <row r="63" spans="1:16" ht="8.4499999999999993" customHeight="1" x14ac:dyDescent="0.15">
      <c r="A63" s="294" t="s">
        <v>383</v>
      </c>
      <c r="B63" s="296">
        <f>+[2]rapkvart!D173</f>
        <v>9.34</v>
      </c>
      <c r="C63" s="295">
        <f>+[2]rapkvart!E173</f>
        <v>3.2800000000000011</v>
      </c>
      <c r="D63" s="296">
        <f>+[2]rapkvart!F173</f>
        <v>14.16</v>
      </c>
      <c r="E63" s="297">
        <f>+[2]rapkvart!G173</f>
        <v>9.3000000000000007</v>
      </c>
      <c r="F63" s="295">
        <f>+[2]rapkvart!H172</f>
        <v>7399</v>
      </c>
      <c r="G63" s="295">
        <f>+[2]rapkvart!I172</f>
        <v>7399</v>
      </c>
      <c r="L63" s="306" t="str">
        <f>[2]rapkvart!A173</f>
        <v>Earnings per share from continuing operations, SEK</v>
      </c>
      <c r="M63" s="296">
        <v>1.8499999999999996</v>
      </c>
      <c r="N63" s="295">
        <v>1.66</v>
      </c>
      <c r="O63" s="296">
        <v>14.27</v>
      </c>
      <c r="P63" s="297">
        <v>12.67</v>
      </c>
    </row>
    <row r="64" spans="1:16" ht="8.4499999999999993" customHeight="1" x14ac:dyDescent="0.15">
      <c r="A64" s="294" t="s">
        <v>387</v>
      </c>
      <c r="B64" s="296">
        <f>+[2]rapkvart!D174</f>
        <v>-8.9999999999999858E-2</v>
      </c>
      <c r="C64" s="295">
        <f>+[2]rapkvart!E174</f>
        <v>-1.0200000000000014</v>
      </c>
      <c r="D64" s="296">
        <f>+[2]rapkvart!F174</f>
        <v>-0.46000000000000085</v>
      </c>
      <c r="E64" s="297">
        <f>+[2]rapkvart!G174</f>
        <v>-1.3900000000000006</v>
      </c>
      <c r="F64" s="295">
        <f>+[2]rapkvart!H173</f>
        <v>0</v>
      </c>
      <c r="G64" s="295">
        <f>+[2]rapkvart!I173</f>
        <v>14.27</v>
      </c>
      <c r="L64" s="306" t="str">
        <f>[2]rapkvart!A174</f>
        <v>Earnings per share fom discontinued operations, SEK</v>
      </c>
      <c r="M64" s="296">
        <v>-2.09</v>
      </c>
      <c r="N64" s="295">
        <v>0</v>
      </c>
      <c r="O64" s="296">
        <v>-4.33</v>
      </c>
      <c r="P64" s="297">
        <v>0</v>
      </c>
    </row>
    <row r="65" spans="1:16" ht="8.4499999999999993" customHeight="1" x14ac:dyDescent="0.15">
      <c r="A65" s="294" t="str">
        <f>A42</f>
        <v>Periodens resultat per aktie efter skatt, kr</v>
      </c>
      <c r="B65" s="296">
        <f>+[2]rapkvart!D175</f>
        <v>9.25</v>
      </c>
      <c r="C65" s="295">
        <f>+[2]rapkvart!E175</f>
        <v>2.2599999999999998</v>
      </c>
      <c r="D65" s="296">
        <f>+[2]rapkvart!F175</f>
        <v>13.7</v>
      </c>
      <c r="E65" s="297">
        <f>+[2]rapkvart!G175</f>
        <v>7.91</v>
      </c>
      <c r="F65" s="295">
        <f>+[2]rapkvart!H174</f>
        <v>0</v>
      </c>
      <c r="G65" s="295">
        <f>+[2]rapkvart!I174</f>
        <v>-4.33</v>
      </c>
      <c r="L65" s="306" t="s">
        <v>272</v>
      </c>
      <c r="M65" s="296">
        <v>-0.24000000000000021</v>
      </c>
      <c r="N65" s="295">
        <v>1.66</v>
      </c>
      <c r="O65" s="296">
        <v>9.94</v>
      </c>
      <c r="P65" s="297">
        <v>12.67</v>
      </c>
    </row>
    <row r="66" spans="1:16" ht="8.4499999999999993" customHeight="1" x14ac:dyDescent="0.15">
      <c r="A66" s="454" t="str">
        <f>+[2]rapkvart!B176</f>
        <v>Eget kapital per aktie, kr</v>
      </c>
      <c r="B66" s="331" t="str">
        <f>+[2]rapkvart!D176</f>
        <v>-</v>
      </c>
      <c r="C66" s="330" t="str">
        <f>+[2]rapkvart!E176</f>
        <v>-</v>
      </c>
      <c r="D66" s="331">
        <f>+[2]rapkvart!F176</f>
        <v>107.42</v>
      </c>
      <c r="E66" s="332">
        <f>+[2]rapkvart!G176</f>
        <v>92.5</v>
      </c>
      <c r="F66" s="295">
        <f>+[2]rapkvart!H175</f>
        <v>15.72</v>
      </c>
      <c r="G66" s="295">
        <f>+[2]rapkvart!I175</f>
        <v>9.94</v>
      </c>
      <c r="L66" s="463" t="str">
        <f>+[2]rapkvart!A176</f>
        <v>Equity per share, SEK</v>
      </c>
      <c r="M66" s="464" t="s">
        <v>17</v>
      </c>
      <c r="N66" s="424" t="s">
        <v>17</v>
      </c>
      <c r="O66" s="464">
        <v>94.45</v>
      </c>
      <c r="P66" s="465">
        <v>88.88</v>
      </c>
    </row>
    <row r="67" spans="1:16" ht="7.5" customHeight="1" x14ac:dyDescent="0.15">
      <c r="F67" s="295"/>
      <c r="G67" s="295"/>
    </row>
    <row r="68" spans="1:16" s="363" customFormat="1" ht="9.6" customHeight="1" x14ac:dyDescent="0.25">
      <c r="B68" s="466"/>
      <c r="C68" s="466"/>
      <c r="D68" s="466"/>
      <c r="E68" s="466"/>
      <c r="F68" s="466"/>
      <c r="G68" s="466"/>
      <c r="H68" s="467"/>
    </row>
    <row r="69" spans="1:16" s="363" customFormat="1" ht="9.6" customHeight="1" x14ac:dyDescent="0.25">
      <c r="A69" s="259"/>
      <c r="B69" s="259"/>
      <c r="C69" s="259"/>
      <c r="D69" s="259"/>
      <c r="E69" s="259"/>
      <c r="F69" s="466"/>
      <c r="G69" s="466"/>
      <c r="H69" s="467"/>
    </row>
    <row r="72" spans="1:16" x14ac:dyDescent="0.15">
      <c r="A72" s="259" t="s">
        <v>535</v>
      </c>
    </row>
    <row r="73" spans="1:16" x14ac:dyDescent="0.15">
      <c r="A73" s="259" t="s">
        <v>536</v>
      </c>
    </row>
  </sheetData>
  <pageMargins left="0.7" right="0.7" top="0.75" bottom="0.75" header="0.3" footer="0.3"/>
  <pageSetup paperSize="9"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5F048-9CA5-4818-A334-E67EC073D47D}">
  <sheetPr>
    <tabColor rgb="FFFFFF00"/>
  </sheetPr>
  <dimension ref="A1:I38"/>
  <sheetViews>
    <sheetView workbookViewId="0"/>
    <sheetView workbookViewId="1"/>
  </sheetViews>
  <sheetFormatPr defaultColWidth="9.140625" defaultRowHeight="9" x14ac:dyDescent="0.15"/>
  <cols>
    <col min="1" max="1" width="49.140625" style="2" customWidth="1"/>
    <col min="2" max="2" width="3.7109375" style="42" customWidth="1"/>
    <col min="3" max="5" width="8.140625" style="2" customWidth="1"/>
    <col min="6" max="6" width="9.140625" style="2"/>
    <col min="7" max="7" width="15.7109375" style="2" customWidth="1"/>
    <col min="8" max="8" width="2.42578125" style="2" customWidth="1"/>
    <col min="9" max="9" width="9.140625" style="2" customWidth="1"/>
    <col min="10" max="16384" width="9.140625" style="2"/>
  </cols>
  <sheetData>
    <row r="1" spans="1:9" ht="11.25" customHeight="1" x14ac:dyDescent="0.15">
      <c r="A1" s="18" t="str">
        <f>+[2]rapkvart!$B$53</f>
        <v>Koncernens finansiella ställning i sammandrag</v>
      </c>
      <c r="B1" s="44"/>
      <c r="C1" s="19"/>
      <c r="D1" s="19"/>
    </row>
    <row r="2" spans="1:9" ht="11.25" customHeight="1" x14ac:dyDescent="0.15">
      <c r="A2" s="5" t="s">
        <v>623</v>
      </c>
      <c r="B2" s="45"/>
      <c r="C2" s="46" t="str">
        <f>+[2]rapkvart!F54</f>
        <v>30 jun</v>
      </c>
      <c r="D2" s="46" t="str">
        <f>+[2]rapkvart!G54</f>
        <v>30 jun</v>
      </c>
    </row>
    <row r="3" spans="1:9" ht="9.75" customHeight="1" x14ac:dyDescent="0.15">
      <c r="A3" s="36" t="s">
        <v>624</v>
      </c>
      <c r="B3" s="40"/>
      <c r="C3" s="37">
        <f>+[2]rapkvart!F55</f>
        <v>2026</v>
      </c>
      <c r="D3" s="37">
        <f>+[2]rapkvart!G55</f>
        <v>2025</v>
      </c>
    </row>
    <row r="4" spans="1:9" ht="9" customHeight="1" x14ac:dyDescent="0.15">
      <c r="A4" s="1" t="str">
        <f>+[2]rapkvart!B56</f>
        <v>Tillgångar</v>
      </c>
      <c r="B4" s="39"/>
      <c r="C4" s="13"/>
      <c r="D4" s="14"/>
      <c r="G4" s="1" t="s">
        <v>625</v>
      </c>
      <c r="H4" s="1"/>
      <c r="I4" s="1" t="s">
        <v>626</v>
      </c>
    </row>
    <row r="5" spans="1:9" ht="9" customHeight="1" x14ac:dyDescent="0.15">
      <c r="A5" s="131" t="s">
        <v>627</v>
      </c>
      <c r="B5" s="132"/>
      <c r="C5" s="11">
        <f>+[2]rapkvart!$F$62+G5</f>
        <v>1484.029974</v>
      </c>
      <c r="D5" s="133">
        <f>+[2]rapkvart!$G$62-[2]rapkvart!$G$58+I5</f>
        <v>1505.329974</v>
      </c>
      <c r="E5" s="123" t="s">
        <v>628</v>
      </c>
      <c r="F5" s="127">
        <f>530.74+924.089974</f>
        <v>1454.829974</v>
      </c>
      <c r="G5" s="124">
        <f>F5-'Koncern BR - KONCERN ANVÄNDA'!C6</f>
        <v>888.42997400000002</v>
      </c>
      <c r="I5" s="14">
        <f>587.1+G5</f>
        <v>1475.529974</v>
      </c>
    </row>
    <row r="6" spans="1:9" ht="9" customHeight="1" thickBot="1" x14ac:dyDescent="0.2">
      <c r="A6" s="38" t="s">
        <v>629</v>
      </c>
      <c r="B6" s="43"/>
      <c r="C6" s="128">
        <f>+[2]rapkvart!F67-50</f>
        <v>832.60000000000014</v>
      </c>
      <c r="D6" s="129">
        <f>+[2]rapkvart!G67-68.7</f>
        <v>788.09999999999991</v>
      </c>
      <c r="E6" s="123" t="s">
        <v>630</v>
      </c>
      <c r="G6" s="124"/>
      <c r="H6" s="124"/>
    </row>
    <row r="7" spans="1:9" ht="9" customHeight="1" x14ac:dyDescent="0.15">
      <c r="A7" s="1" t="str">
        <f>+[2]rapkvart!B68</f>
        <v>Summa tillgångar</v>
      </c>
      <c r="B7" s="39"/>
      <c r="C7" s="29">
        <f>SUM(C5:C6)</f>
        <v>2316.6299740000004</v>
      </c>
      <c r="D7" s="30">
        <f>SUM(D5:D6)</f>
        <v>2293.4299739999997</v>
      </c>
      <c r="G7" s="124"/>
      <c r="H7" s="124"/>
    </row>
    <row r="8" spans="1:9" ht="3" customHeight="1" x14ac:dyDescent="0.15">
      <c r="C8" s="23"/>
      <c r="D8" s="24"/>
      <c r="G8" s="124"/>
      <c r="H8" s="124"/>
    </row>
    <row r="9" spans="1:9" ht="9" customHeight="1" x14ac:dyDescent="0.15">
      <c r="A9" s="21" t="s">
        <v>631</v>
      </c>
      <c r="C9" s="29">
        <f>+[2]rapkvart!$F$73+G9</f>
        <v>1510.9133993559999</v>
      </c>
      <c r="D9" s="125">
        <v>1365</v>
      </c>
      <c r="E9" s="123" t="s">
        <v>632</v>
      </c>
      <c r="G9" s="124">
        <f>+G5*0.794</f>
        <v>705.41339935600001</v>
      </c>
      <c r="H9" s="124"/>
    </row>
    <row r="10" spans="1:9" ht="3" hidden="1" customHeight="1" x14ac:dyDescent="0.15">
      <c r="C10" s="23"/>
      <c r="D10" s="126"/>
      <c r="G10" s="124"/>
      <c r="H10" s="124"/>
    </row>
    <row r="11" spans="1:9" ht="9" customHeight="1" x14ac:dyDescent="0.15">
      <c r="A11" s="131" t="s">
        <v>633</v>
      </c>
      <c r="B11" s="132"/>
      <c r="C11" s="134">
        <f>+[2]rapkvart!$F$77+G11</f>
        <v>280.516574644</v>
      </c>
      <c r="D11" s="135">
        <v>272.7</v>
      </c>
      <c r="E11" s="123" t="s">
        <v>634</v>
      </c>
      <c r="G11" s="124">
        <f>+G5-G9</f>
        <v>183.016574644</v>
      </c>
      <c r="H11" s="124"/>
    </row>
    <row r="12" spans="1:9" ht="9" customHeight="1" x14ac:dyDescent="0.15">
      <c r="A12" s="20" t="s">
        <v>635</v>
      </c>
      <c r="B12" s="41"/>
      <c r="C12" s="23">
        <f>+[2]rapkvart!$F$76+[2]rapkvart!$F$80-50+78</f>
        <v>146.80000000000001</v>
      </c>
      <c r="D12" s="126">
        <f>+[2]rapkvart!$G$76+[2]rapkvart!$G$80-68.7+149.6</f>
        <v>235.39999999999998</v>
      </c>
      <c r="E12" s="123" t="s">
        <v>630</v>
      </c>
      <c r="G12" s="124"/>
      <c r="H12" s="124"/>
    </row>
    <row r="13" spans="1:9" ht="9" customHeight="1" thickBot="1" x14ac:dyDescent="0.2">
      <c r="A13" s="38" t="s">
        <v>620</v>
      </c>
      <c r="B13" s="43"/>
      <c r="C13" s="128">
        <f>+[2]rapkvart!$F$81-78</f>
        <v>378.4</v>
      </c>
      <c r="D13" s="130">
        <f>+[2]rapkvart!$G$81-149.6</f>
        <v>379.6</v>
      </c>
      <c r="E13" s="123" t="s">
        <v>630</v>
      </c>
      <c r="G13" s="124"/>
      <c r="H13" s="124"/>
    </row>
    <row r="14" spans="1:9" ht="9" customHeight="1" x14ac:dyDescent="0.15">
      <c r="A14" s="1" t="str">
        <f>+[2]rapkvart!B83</f>
        <v>Summa eget kapital och skulder</v>
      </c>
      <c r="B14" s="39"/>
      <c r="C14" s="29">
        <f>SUM(C9:C13)</f>
        <v>2316.6299739999999</v>
      </c>
      <c r="D14" s="30">
        <f>SUM(D9:D13)</f>
        <v>2252.6999999999998</v>
      </c>
    </row>
    <row r="15" spans="1:9" x14ac:dyDescent="0.15">
      <c r="F15" s="61" t="s">
        <v>636</v>
      </c>
    </row>
    <row r="16" spans="1:9" x14ac:dyDescent="0.15">
      <c r="F16" s="2" t="s">
        <v>637</v>
      </c>
    </row>
    <row r="17" spans="1:6" x14ac:dyDescent="0.15">
      <c r="F17" s="2" t="s">
        <v>638</v>
      </c>
    </row>
    <row r="21" spans="1:6" x14ac:dyDescent="0.15">
      <c r="A21" s="5" t="s">
        <v>639</v>
      </c>
      <c r="B21" s="45"/>
      <c r="C21" s="46" t="s">
        <v>213</v>
      </c>
      <c r="D21" s="46" t="s">
        <v>214</v>
      </c>
      <c r="E21" s="46" t="s">
        <v>640</v>
      </c>
    </row>
    <row r="22" spans="1:6" x14ac:dyDescent="0.15">
      <c r="A22" s="36" t="s">
        <v>221</v>
      </c>
      <c r="B22" s="40"/>
      <c r="C22" s="150" t="s">
        <v>604</v>
      </c>
      <c r="D22" s="37"/>
      <c r="E22" s="37" t="str">
        <f>+C22</f>
        <v>31 dec 2025</v>
      </c>
    </row>
    <row r="23" spans="1:6" x14ac:dyDescent="0.15">
      <c r="A23" s="47" t="s">
        <v>641</v>
      </c>
      <c r="C23" s="13">
        <f>+[2]rapkvart!$F$62</f>
        <v>595.6</v>
      </c>
      <c r="D23" s="24">
        <f>+G5</f>
        <v>888.42997400000002</v>
      </c>
      <c r="E23" s="13">
        <f>SUM(C23:D23)</f>
        <v>1484.029974</v>
      </c>
    </row>
    <row r="24" spans="1:6" x14ac:dyDescent="0.15">
      <c r="A24" s="64" t="s">
        <v>629</v>
      </c>
      <c r="B24" s="138"/>
      <c r="C24" s="59">
        <f>+[2]rapkvart!F67-[2]rapkvart!$F$66</f>
        <v>867.90000000000009</v>
      </c>
      <c r="D24" s="65"/>
      <c r="E24" s="59">
        <f>SUM(C24:D24)</f>
        <v>867.90000000000009</v>
      </c>
    </row>
    <row r="25" spans="1:6" ht="9.75" thickBot="1" x14ac:dyDescent="0.2">
      <c r="A25" s="139" t="s">
        <v>612</v>
      </c>
      <c r="B25" s="140"/>
      <c r="C25" s="141">
        <f>+[2]rapkvart!$F$66</f>
        <v>14.7</v>
      </c>
      <c r="D25" s="142">
        <v>-50</v>
      </c>
      <c r="E25" s="141">
        <f>SUM(C25:D25)</f>
        <v>-35.299999999999997</v>
      </c>
    </row>
    <row r="26" spans="1:6" x14ac:dyDescent="0.15">
      <c r="A26" s="1" t="str">
        <f>+A7</f>
        <v>Summa tillgångar</v>
      </c>
      <c r="B26" s="39"/>
      <c r="C26" s="29">
        <f>SUM(C23:C25)</f>
        <v>1478.2</v>
      </c>
      <c r="D26" s="30"/>
      <c r="E26" s="29">
        <f>SUM(E23:E25)</f>
        <v>2316.6299739999999</v>
      </c>
    </row>
    <row r="27" spans="1:6" ht="4.1500000000000004" customHeight="1" x14ac:dyDescent="0.15">
      <c r="C27" s="23"/>
      <c r="D27" s="24"/>
      <c r="E27" s="23"/>
    </row>
    <row r="28" spans="1:6" x14ac:dyDescent="0.15">
      <c r="A28" s="143" t="s">
        <v>615</v>
      </c>
      <c r="B28" s="144"/>
      <c r="C28" s="58">
        <f>+[2]rapkvart!$F$73</f>
        <v>805.5</v>
      </c>
      <c r="D28" s="145">
        <f>+G9</f>
        <v>705.41339935600001</v>
      </c>
      <c r="E28" s="58">
        <f>SUM(C28:D28)</f>
        <v>1510.9133993559999</v>
      </c>
    </row>
    <row r="29" spans="1:6" x14ac:dyDescent="0.15">
      <c r="A29" s="64" t="s">
        <v>600</v>
      </c>
      <c r="B29" s="138"/>
      <c r="C29" s="68">
        <f>+[2]rapkvart!$F$77</f>
        <v>97.5</v>
      </c>
      <c r="D29" s="146">
        <f>+G11</f>
        <v>183.016574644</v>
      </c>
      <c r="E29" s="68">
        <f t="shared" ref="E29:E32" si="0">SUM(C29:D29)</f>
        <v>280.516574644</v>
      </c>
    </row>
    <row r="30" spans="1:6" x14ac:dyDescent="0.15">
      <c r="A30" s="64" t="s">
        <v>642</v>
      </c>
      <c r="B30" s="138"/>
      <c r="C30" s="68">
        <f>+[2]rapkvart!$F$76+[2]rapkvart!$F$80</f>
        <v>118.8</v>
      </c>
      <c r="D30" s="146">
        <f>SUM(D31:D32)</f>
        <v>28</v>
      </c>
      <c r="E30" s="68">
        <f t="shared" si="0"/>
        <v>146.80000000000001</v>
      </c>
    </row>
    <row r="31" spans="1:6" x14ac:dyDescent="0.15">
      <c r="A31" s="147" t="s">
        <v>643</v>
      </c>
      <c r="B31" s="138"/>
      <c r="C31" s="68" t="s">
        <v>17</v>
      </c>
      <c r="D31" s="146">
        <f>+D25</f>
        <v>-50</v>
      </c>
      <c r="E31" s="68">
        <f t="shared" si="0"/>
        <v>-50</v>
      </c>
    </row>
    <row r="32" spans="1:6" x14ac:dyDescent="0.15">
      <c r="A32" s="147" t="s">
        <v>644</v>
      </c>
      <c r="B32" s="138"/>
      <c r="C32" s="68" t="s">
        <v>17</v>
      </c>
      <c r="D32" s="146">
        <f>-D34</f>
        <v>78</v>
      </c>
      <c r="E32" s="68">
        <f t="shared" si="0"/>
        <v>78</v>
      </c>
    </row>
    <row r="33" spans="1:5" x14ac:dyDescent="0.15">
      <c r="A33" s="64" t="str">
        <f>+A13</f>
        <v>Ej räntebärande skulder</v>
      </c>
      <c r="B33" s="138"/>
      <c r="C33" s="68">
        <f>+[2]rapkvart!$F$81</f>
        <v>456.4</v>
      </c>
      <c r="D33" s="146">
        <f>SUM(D34)</f>
        <v>-78</v>
      </c>
      <c r="E33" s="68">
        <f>SUM(C33:D33)</f>
        <v>378.4</v>
      </c>
    </row>
    <row r="34" spans="1:5" ht="9.75" thickBot="1" x14ac:dyDescent="0.2">
      <c r="A34" s="148" t="s">
        <v>644</v>
      </c>
      <c r="B34" s="140"/>
      <c r="C34" s="141">
        <v>78</v>
      </c>
      <c r="D34" s="149">
        <f>-C34</f>
        <v>-78</v>
      </c>
      <c r="E34" s="141">
        <f>SUM(C34:D34)</f>
        <v>0</v>
      </c>
    </row>
    <row r="35" spans="1:5" x14ac:dyDescent="0.15">
      <c r="A35" s="1" t="str">
        <f>+A14</f>
        <v>Summa eget kapital och skulder</v>
      </c>
      <c r="B35" s="39"/>
      <c r="C35" s="29">
        <f>SUM(C28,C29,C30,C33)</f>
        <v>1478.1999999999998</v>
      </c>
      <c r="D35" s="30"/>
      <c r="E35" s="29">
        <f>SUM(E28,E29,E30,E33)</f>
        <v>2316.6299739999999</v>
      </c>
    </row>
    <row r="38" spans="1:5" x14ac:dyDescent="0.15">
      <c r="C38" s="14"/>
    </row>
  </sheetData>
  <pageMargins left="0.7" right="0.7" top="0.75" bottom="0.75" header="0.3" footer="0.3"/>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8D930-875E-435C-8104-7DE0C3C2E873}">
  <sheetPr>
    <tabColor rgb="FFFFFF00"/>
  </sheetPr>
  <dimension ref="A1:H24"/>
  <sheetViews>
    <sheetView workbookViewId="0"/>
    <sheetView workbookViewId="1"/>
  </sheetViews>
  <sheetFormatPr defaultColWidth="9.140625" defaultRowHeight="15" outlineLevelCol="1" x14ac:dyDescent="0.25"/>
  <cols>
    <col min="1" max="1" width="51.85546875" style="22" customWidth="1"/>
    <col min="2" max="3" width="9.28515625" style="22" customWidth="1" outlineLevel="1"/>
    <col min="4" max="5" width="9.28515625" style="22" customWidth="1"/>
    <col min="6" max="6" width="9.140625" style="22"/>
    <col min="7" max="7" width="3" style="22" customWidth="1"/>
    <col min="8" max="16384" width="9.140625" style="22"/>
  </cols>
  <sheetData>
    <row r="1" spans="1:8" s="2" customFormat="1" ht="11.25" customHeight="1" x14ac:dyDescent="0.15">
      <c r="A1" s="1"/>
      <c r="G1" s="2" t="s">
        <v>0</v>
      </c>
      <c r="H1" s="2">
        <v>43</v>
      </c>
    </row>
    <row r="2" spans="1:8" s="2" customFormat="1" ht="11.25" customHeight="1" x14ac:dyDescent="0.2">
      <c r="A2" s="73"/>
      <c r="B2" s="74" t="str">
        <f>+[2]rapkvart!D87</f>
        <v>Kvartal 2</v>
      </c>
      <c r="C2" s="74" t="str">
        <f>+[2]rapkvart!E87</f>
        <v>Kvartal 2</v>
      </c>
      <c r="D2" s="74" t="str">
        <f>+[2]rapkvart!F87</f>
        <v>Kvartal 1-2</v>
      </c>
      <c r="E2" s="74" t="str">
        <f>+[2]rapkvart!G87</f>
        <v>Kvartal 1-2</v>
      </c>
      <c r="G2" s="2" t="s">
        <v>1</v>
      </c>
      <c r="H2" s="2">
        <v>4</v>
      </c>
    </row>
    <row r="3" spans="1:8" s="2" customFormat="1" ht="9" customHeight="1" x14ac:dyDescent="0.2">
      <c r="A3" s="75"/>
      <c r="B3" s="76">
        <f>+[2]rapkvart!D88</f>
        <v>2026</v>
      </c>
      <c r="C3" s="76">
        <f>+[2]rapkvart!E88</f>
        <v>2025</v>
      </c>
      <c r="D3" s="76">
        <f>+[2]rapkvart!F88</f>
        <v>2026</v>
      </c>
      <c r="E3" s="76">
        <f>+[2]rapkvart!G88</f>
        <v>2025</v>
      </c>
    </row>
    <row r="4" spans="1:8" s="2" customFormat="1" ht="9.9499999999999993" customHeight="1" x14ac:dyDescent="0.2">
      <c r="A4" s="77" t="s">
        <v>2</v>
      </c>
      <c r="B4" s="78">
        <f>+[2]rapkvart!$D$6</f>
        <v>684.69999999999993</v>
      </c>
      <c r="C4" s="79">
        <f>+[2]rapkvart!$E$6</f>
        <v>671.99999999999989</v>
      </c>
      <c r="D4" s="78">
        <f>+[2]rapkvart!$F$6</f>
        <v>1294.3</v>
      </c>
      <c r="E4" s="79">
        <f>+[2]rapkvart!$G$6</f>
        <v>1311.6</v>
      </c>
    </row>
    <row r="5" spans="1:8" s="2" customFormat="1" ht="13.5" x14ac:dyDescent="0.25">
      <c r="A5" s="2504" t="s">
        <v>3</v>
      </c>
      <c r="B5" s="2505"/>
      <c r="C5" s="2505"/>
      <c r="D5" s="2505"/>
      <c r="E5" s="2506"/>
    </row>
    <row r="6" spans="1:8" s="2" customFormat="1" ht="9.9499999999999993" customHeight="1" x14ac:dyDescent="0.2">
      <c r="A6" s="2507" t="s">
        <v>645</v>
      </c>
      <c r="B6" s="2508"/>
      <c r="C6" s="2508"/>
      <c r="D6" s="2508"/>
      <c r="E6" s="2509"/>
    </row>
    <row r="7" spans="1:8" s="2" customFormat="1" ht="9.9499999999999993" customHeight="1" x14ac:dyDescent="0.2">
      <c r="A7" s="93" t="s">
        <v>646</v>
      </c>
      <c r="B7" s="94">
        <f>+[2]rapkvart!D$179</f>
        <v>0</v>
      </c>
      <c r="C7" s="95">
        <f>+[2]rapkvart!E$179</f>
        <v>0</v>
      </c>
      <c r="D7" s="94">
        <f>+[2]rapkvart!F$179</f>
        <v>0</v>
      </c>
      <c r="E7" s="95">
        <f>+[2]rapkvart!G$179</f>
        <v>0</v>
      </c>
      <c r="F7" s="14"/>
    </row>
    <row r="8" spans="1:8" s="2" customFormat="1" ht="9.9499999999999993" customHeight="1" x14ac:dyDescent="0.2">
      <c r="A8" s="82" t="s">
        <v>647</v>
      </c>
      <c r="B8" s="83">
        <f>+[2]rapkvart!D$183</f>
        <v>0</v>
      </c>
      <c r="C8" s="84">
        <f>+[2]rapkvart!E$183</f>
        <v>0</v>
      </c>
      <c r="D8" s="83">
        <f>+[2]rapkvart!F$183</f>
        <v>0</v>
      </c>
      <c r="E8" s="84">
        <f>+[2]rapkvart!G$183</f>
        <v>0</v>
      </c>
    </row>
    <row r="9" spans="1:8" s="2" customFormat="1" ht="9.9499999999999993" customHeight="1" x14ac:dyDescent="0.2">
      <c r="A9" s="82" t="s">
        <v>5</v>
      </c>
      <c r="B9" s="83">
        <f>+[2]rapkvart!D$184</f>
        <v>0</v>
      </c>
      <c r="C9" s="84">
        <f>+[2]rapkvart!E$184</f>
        <v>0</v>
      </c>
      <c r="D9" s="83">
        <f>+[2]rapkvart!F$184</f>
        <v>0</v>
      </c>
      <c r="E9" s="84">
        <f>+[2]rapkvart!G$184</f>
        <v>0</v>
      </c>
    </row>
    <row r="10" spans="1:8" s="2" customFormat="1" ht="9.9499999999999993" customHeight="1" x14ac:dyDescent="0.2">
      <c r="A10" s="82" t="s">
        <v>648</v>
      </c>
      <c r="B10" s="83">
        <f>+[2]rapkvart!D$180</f>
        <v>0</v>
      </c>
      <c r="C10" s="84">
        <f>+[2]rapkvart!E$180</f>
        <v>0</v>
      </c>
      <c r="D10" s="83">
        <f>+[2]rapkvart!F$180</f>
        <v>0</v>
      </c>
      <c r="E10" s="84">
        <f>+[2]rapkvart!G$180</f>
        <v>0</v>
      </c>
    </row>
    <row r="11" spans="1:8" s="2" customFormat="1" ht="9.9499999999999993" customHeight="1" x14ac:dyDescent="0.2">
      <c r="A11" s="85" t="s">
        <v>649</v>
      </c>
      <c r="B11" s="86">
        <v>0</v>
      </c>
      <c r="C11" s="87">
        <v>0</v>
      </c>
      <c r="D11" s="86">
        <v>-3.3</v>
      </c>
      <c r="E11" s="87">
        <v>0</v>
      </c>
    </row>
    <row r="12" spans="1:8" s="2" customFormat="1" ht="9.9499999999999993" hidden="1" customHeight="1" x14ac:dyDescent="0.2">
      <c r="A12" s="99" t="s">
        <v>650</v>
      </c>
      <c r="B12" s="100">
        <v>11.8</v>
      </c>
      <c r="C12" s="100">
        <v>16.8</v>
      </c>
      <c r="D12" s="100">
        <v>97</v>
      </c>
      <c r="E12" s="100">
        <v>103</v>
      </c>
    </row>
    <row r="13" spans="1:8" s="2" customFormat="1" ht="9.9499999999999993" hidden="1" customHeight="1" x14ac:dyDescent="0.2">
      <c r="A13" s="101" t="s">
        <v>651</v>
      </c>
      <c r="B13" s="102">
        <v>0</v>
      </c>
      <c r="C13" s="102">
        <v>0.3</v>
      </c>
      <c r="D13" s="102">
        <v>6.4</v>
      </c>
      <c r="E13" s="102">
        <v>7.8</v>
      </c>
    </row>
    <row r="14" spans="1:8" s="2" customFormat="1" ht="9.9499999999999993" hidden="1" customHeight="1" x14ac:dyDescent="0.2">
      <c r="A14" s="103" t="s">
        <v>652</v>
      </c>
      <c r="B14" s="104">
        <f>+[2]rapkvart!D$185</f>
        <v>0</v>
      </c>
      <c r="C14" s="104">
        <f>+[2]rapkvart!E$185</f>
        <v>0</v>
      </c>
      <c r="D14" s="104">
        <f>+[2]rapkvart!F$185</f>
        <v>0</v>
      </c>
      <c r="E14" s="104">
        <f>+[2]rapkvart!G$185</f>
        <v>0</v>
      </c>
    </row>
    <row r="15" spans="1:8" s="2" customFormat="1" ht="9.9499999999999993" customHeight="1" x14ac:dyDescent="0.2">
      <c r="A15" s="96"/>
      <c r="B15" s="98"/>
      <c r="C15" s="98"/>
      <c r="D15" s="98"/>
      <c r="E15" s="97"/>
    </row>
    <row r="16" spans="1:8" s="2" customFormat="1" ht="13.5" x14ac:dyDescent="0.25">
      <c r="A16" s="2510" t="s">
        <v>653</v>
      </c>
      <c r="B16" s="2511"/>
      <c r="C16" s="2511"/>
      <c r="D16" s="2511"/>
      <c r="E16" s="2512"/>
    </row>
    <row r="17" spans="1:7" s="2" customFormat="1" ht="23.25" customHeight="1" x14ac:dyDescent="0.2">
      <c r="A17" s="88" t="s">
        <v>654</v>
      </c>
      <c r="B17" s="80">
        <v>55.2</v>
      </c>
      <c r="C17" s="81">
        <v>123.7</v>
      </c>
      <c r="D17" s="80">
        <v>43.7</v>
      </c>
      <c r="E17" s="81">
        <v>44.6</v>
      </c>
    </row>
    <row r="18" spans="1:7" s="2" customFormat="1" ht="9.9499999999999993" customHeight="1" x14ac:dyDescent="0.2">
      <c r="A18" s="90" t="s">
        <v>655</v>
      </c>
      <c r="B18" s="86">
        <v>-16.2</v>
      </c>
      <c r="C18" s="87">
        <v>-11.4</v>
      </c>
      <c r="D18" s="86">
        <v>27.5</v>
      </c>
      <c r="E18" s="87">
        <v>9.1999999999999993</v>
      </c>
    </row>
    <row r="19" spans="1:7" s="2" customFormat="1" ht="9.9499999999999993" customHeight="1" x14ac:dyDescent="0.2">
      <c r="A19" s="96"/>
      <c r="B19" s="98"/>
      <c r="C19" s="98"/>
      <c r="D19" s="98"/>
      <c r="E19" s="97"/>
    </row>
    <row r="20" spans="1:7" s="2" customFormat="1" ht="12.75" customHeight="1" x14ac:dyDescent="0.25">
      <c r="A20" s="2510" t="s">
        <v>9</v>
      </c>
      <c r="B20" s="2511"/>
      <c r="C20" s="2511"/>
      <c r="D20" s="2511"/>
      <c r="E20" s="2512"/>
    </row>
    <row r="21" spans="1:7" s="2" customFormat="1" ht="9.9499999999999993" customHeight="1" x14ac:dyDescent="0.2">
      <c r="A21" s="2507" t="s">
        <v>656</v>
      </c>
      <c r="B21" s="2508"/>
      <c r="C21" s="2508"/>
      <c r="D21" s="2508"/>
      <c r="E21" s="2509"/>
    </row>
    <row r="22" spans="1:7" s="2" customFormat="1" ht="9.9499999999999993" customHeight="1" x14ac:dyDescent="0.2">
      <c r="A22" s="89" t="s">
        <v>248</v>
      </c>
      <c r="B22" s="78">
        <f>+[2]rapkvart!D$14</f>
        <v>92.400000000000063</v>
      </c>
      <c r="C22" s="79">
        <f>+[2]rapkvart!E$14</f>
        <v>40.399999999999849</v>
      </c>
      <c r="D22" s="78">
        <f>+[2]rapkvart!F$14</f>
        <v>142.80000000000004</v>
      </c>
      <c r="E22" s="79">
        <f>+[2]rapkvart!G$14</f>
        <v>97.89999999999992</v>
      </c>
      <c r="G22" s="14">
        <f>E22-E7</f>
        <v>97.89999999999992</v>
      </c>
    </row>
    <row r="23" spans="1:7" s="2" customFormat="1" ht="9.9499999999999993" customHeight="1" x14ac:dyDescent="0.2">
      <c r="A23" s="89" t="s">
        <v>12</v>
      </c>
      <c r="B23" s="78">
        <f>+[2]rapkvart!D$27</f>
        <v>70.000000000000071</v>
      </c>
      <c r="C23" s="79">
        <f>+[2]rapkvart!E$27</f>
        <v>18.099999999999856</v>
      </c>
      <c r="D23" s="78">
        <f>+[2]rapkvart!F$27</f>
        <v>104.00000000000004</v>
      </c>
      <c r="E23" s="79">
        <f>+[2]rapkvart!G$27</f>
        <v>61.499999999999915</v>
      </c>
    </row>
    <row r="24" spans="1:7" s="2" customFormat="1" ht="9.9499999999999993" customHeight="1" x14ac:dyDescent="0.2">
      <c r="A24" s="89" t="s">
        <v>13</v>
      </c>
      <c r="B24" s="91">
        <f>+[2]rapkvart!D$35</f>
        <v>9.25</v>
      </c>
      <c r="C24" s="92">
        <f>+[2]rapkvart!E$35</f>
        <v>2.2599999999999998</v>
      </c>
      <c r="D24" s="91">
        <f>+[2]rapkvart!F$35</f>
        <v>13.7</v>
      </c>
      <c r="E24" s="92">
        <f>+[2]rapkvart!G$35</f>
        <v>7.91</v>
      </c>
    </row>
  </sheetData>
  <mergeCells count="5">
    <mergeCell ref="A5:E5"/>
    <mergeCell ref="A6:E6"/>
    <mergeCell ref="A16:E16"/>
    <mergeCell ref="A20:E20"/>
    <mergeCell ref="A21:E21"/>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1F6F0-70B4-4A99-A688-3027144AF846}">
  <sheetPr>
    <tabColor rgb="FFFF0000"/>
  </sheetPr>
  <dimension ref="A1:V20"/>
  <sheetViews>
    <sheetView workbookViewId="0"/>
    <sheetView workbookViewId="1"/>
  </sheetViews>
  <sheetFormatPr defaultColWidth="9.140625" defaultRowHeight="9" outlineLevelCol="1" x14ac:dyDescent="0.15"/>
  <cols>
    <col min="1" max="1" width="44.140625" style="2" customWidth="1"/>
    <col min="2" max="3" width="8.28515625" style="2" customWidth="1" outlineLevel="1"/>
    <col min="4" max="5" width="8.28515625" style="2" customWidth="1"/>
    <col min="6" max="6" width="8.28515625" style="2" hidden="1" customWidth="1" outlineLevel="1"/>
    <col min="7" max="7" width="9.140625" style="2" hidden="1" customWidth="1" outlineLevel="1"/>
    <col min="8" max="8" width="9.140625" style="2" collapsed="1"/>
    <col min="9" max="12" width="8.28515625" style="2" customWidth="1"/>
    <col min="13" max="13" width="8.28515625" style="2" customWidth="1" collapsed="1"/>
    <col min="14" max="20" width="8.28515625" style="2" customWidth="1"/>
    <col min="21" max="16384" width="9.140625" style="2"/>
  </cols>
  <sheetData>
    <row r="1" spans="1:22" ht="11.25" customHeight="1" thickBot="1" x14ac:dyDescent="0.2">
      <c r="A1" s="31" t="s">
        <v>657</v>
      </c>
      <c r="B1" s="15"/>
      <c r="C1" s="15"/>
      <c r="D1" s="15"/>
      <c r="E1" s="15"/>
      <c r="F1" s="15"/>
      <c r="I1" s="15"/>
      <c r="J1" s="15"/>
      <c r="K1" s="15"/>
      <c r="L1" s="15"/>
      <c r="M1" s="15"/>
      <c r="N1" s="15"/>
      <c r="O1" s="15"/>
      <c r="P1" s="15"/>
      <c r="Q1" s="15"/>
      <c r="R1" s="15"/>
      <c r="S1" s="15"/>
      <c r="T1" s="15"/>
    </row>
    <row r="2" spans="1:22" ht="11.25" customHeight="1" x14ac:dyDescent="0.15">
      <c r="A2" s="5"/>
      <c r="B2" s="4">
        <f>+[2]rapkvart!D238</f>
        <v>0</v>
      </c>
      <c r="C2" s="4">
        <f>+[2]rapkvart!E238</f>
        <v>0</v>
      </c>
      <c r="D2" s="4">
        <f>+[2]rapkvart!F238</f>
        <v>0</v>
      </c>
      <c r="E2" s="4">
        <f>+[2]rapkvart!G238</f>
        <v>0</v>
      </c>
      <c r="F2" s="46"/>
      <c r="I2" s="4" t="s">
        <v>658</v>
      </c>
      <c r="J2" s="4" t="s">
        <v>658</v>
      </c>
      <c r="K2" s="4" t="s">
        <v>220</v>
      </c>
      <c r="L2" s="4" t="s">
        <v>220</v>
      </c>
      <c r="M2" s="4" t="s">
        <v>207</v>
      </c>
      <c r="N2" s="4" t="s">
        <v>207</v>
      </c>
      <c r="O2" s="4" t="s">
        <v>23</v>
      </c>
      <c r="P2" s="4" t="s">
        <v>23</v>
      </c>
      <c r="Q2" s="4" t="s">
        <v>658</v>
      </c>
      <c r="R2" s="4" t="s">
        <v>658</v>
      </c>
      <c r="S2" s="4" t="s">
        <v>220</v>
      </c>
      <c r="T2" s="4" t="s">
        <v>220</v>
      </c>
      <c r="U2" s="46" t="s">
        <v>207</v>
      </c>
      <c r="V2" s="46" t="s">
        <v>207</v>
      </c>
    </row>
    <row r="3" spans="1:22" ht="9" customHeight="1" x14ac:dyDescent="0.15">
      <c r="A3" s="36" t="s">
        <v>221</v>
      </c>
      <c r="B3" s="37">
        <f>+[2]rapkvart!D239</f>
        <v>0</v>
      </c>
      <c r="C3" s="37">
        <f>+[2]rapkvart!E239</f>
        <v>0</v>
      </c>
      <c r="D3" s="37">
        <f>+[2]rapkvart!F239</f>
        <v>0</v>
      </c>
      <c r="E3" s="37">
        <f>+[2]rapkvart!G239</f>
        <v>0</v>
      </c>
      <c r="F3" s="37">
        <f>+[2]rapkvart!I239</f>
        <v>0</v>
      </c>
      <c r="I3" s="37">
        <v>2020</v>
      </c>
      <c r="J3" s="37">
        <v>2019</v>
      </c>
      <c r="K3" s="37">
        <v>2020</v>
      </c>
      <c r="L3" s="37">
        <v>2019</v>
      </c>
      <c r="M3" s="37">
        <v>2020</v>
      </c>
      <c r="N3" s="37">
        <v>2019</v>
      </c>
      <c r="O3" s="37">
        <v>2019</v>
      </c>
      <c r="P3" s="37">
        <v>2018</v>
      </c>
      <c r="Q3" s="37">
        <v>2019</v>
      </c>
      <c r="R3" s="37">
        <v>2018</v>
      </c>
      <c r="S3" s="37">
        <v>2019</v>
      </c>
      <c r="T3" s="37">
        <v>2018</v>
      </c>
      <c r="U3" s="37">
        <v>2019</v>
      </c>
      <c r="V3" s="37">
        <v>2018</v>
      </c>
    </row>
    <row r="4" spans="1:22" x14ac:dyDescent="0.15">
      <c r="A4" s="6" t="s">
        <v>659</v>
      </c>
      <c r="B4" s="7">
        <f>+D4-K4</f>
        <v>48.7</v>
      </c>
      <c r="C4" s="8">
        <f>+E4-L4</f>
        <v>130.69999999999999</v>
      </c>
      <c r="D4" s="7">
        <v>94.9</v>
      </c>
      <c r="E4" s="8">
        <v>218.6</v>
      </c>
      <c r="F4" s="8">
        <v>218.6</v>
      </c>
      <c r="I4" s="7">
        <v>78.7</v>
      </c>
      <c r="J4" s="8">
        <v>170.4</v>
      </c>
      <c r="K4" s="7">
        <v>46.2</v>
      </c>
      <c r="L4" s="8">
        <v>87.9</v>
      </c>
      <c r="M4" s="7">
        <v>26.9</v>
      </c>
      <c r="N4" s="8">
        <v>35.4</v>
      </c>
      <c r="O4" s="7">
        <v>218.6</v>
      </c>
      <c r="P4" s="8">
        <v>137.69999999999999</v>
      </c>
      <c r="Q4" s="7">
        <v>170.4</v>
      </c>
      <c r="R4" s="8">
        <v>72.599999999999994</v>
      </c>
      <c r="S4" s="7">
        <v>87.9</v>
      </c>
      <c r="T4" s="8">
        <f>12+26.2</f>
        <v>38.200000000000003</v>
      </c>
      <c r="U4" s="7">
        <f>49.4-14</f>
        <v>35.4</v>
      </c>
      <c r="V4" s="8">
        <v>19.399999999999999</v>
      </c>
    </row>
    <row r="5" spans="1:22" x14ac:dyDescent="0.15">
      <c r="A5" s="51" t="s">
        <v>660</v>
      </c>
      <c r="B5" s="49">
        <f>+D5-K5</f>
        <v>21.699999999999996</v>
      </c>
      <c r="C5" s="50">
        <f>+E5-L5</f>
        <v>115.60000000000001</v>
      </c>
      <c r="D5" s="49">
        <v>56.3</v>
      </c>
      <c r="E5" s="50">
        <v>183.4</v>
      </c>
      <c r="F5" s="60">
        <v>183.4</v>
      </c>
      <c r="I5" s="49">
        <v>56.3</v>
      </c>
      <c r="J5" s="50">
        <v>140.30000000000001</v>
      </c>
      <c r="K5" s="49">
        <v>34.6</v>
      </c>
      <c r="L5" s="50">
        <v>67.8</v>
      </c>
      <c r="M5" s="49">
        <v>20.9</v>
      </c>
      <c r="N5" s="50">
        <v>26.2</v>
      </c>
      <c r="O5" s="49">
        <v>183.4</v>
      </c>
      <c r="P5" s="50">
        <v>86.6</v>
      </c>
      <c r="Q5" s="49">
        <v>140.30000000000001</v>
      </c>
      <c r="R5" s="50">
        <v>30.3</v>
      </c>
      <c r="S5" s="49">
        <v>67.8</v>
      </c>
      <c r="T5" s="50">
        <v>4</v>
      </c>
      <c r="U5" s="49">
        <v>26.2</v>
      </c>
      <c r="V5" s="50">
        <v>1.3</v>
      </c>
    </row>
    <row r="6" spans="1:22" x14ac:dyDescent="0.15">
      <c r="A6" s="6" t="s">
        <v>661</v>
      </c>
      <c r="B6" s="9">
        <f>+D6</f>
        <v>-11.5</v>
      </c>
      <c r="C6" s="8">
        <f>+E6</f>
        <v>-9.4</v>
      </c>
      <c r="D6" s="9">
        <v>-11.5</v>
      </c>
      <c r="E6" s="8">
        <v>-9.4</v>
      </c>
      <c r="F6" s="10">
        <v>-9.4</v>
      </c>
      <c r="I6" s="9">
        <v>-16.3</v>
      </c>
      <c r="J6" s="8">
        <v>0</v>
      </c>
      <c r="K6" s="9">
        <v>-5.7</v>
      </c>
      <c r="L6" s="8">
        <v>-5</v>
      </c>
      <c r="M6" s="9">
        <v>-10.4</v>
      </c>
      <c r="N6" s="8">
        <v>-5</v>
      </c>
      <c r="O6" s="9">
        <v>-9.4</v>
      </c>
      <c r="P6" s="8">
        <v>-22.9</v>
      </c>
      <c r="Q6" s="9">
        <v>0</v>
      </c>
      <c r="R6" s="8">
        <v>-3.8</v>
      </c>
      <c r="S6" s="9">
        <v>-5</v>
      </c>
      <c r="T6" s="8">
        <v>-3.3</v>
      </c>
      <c r="U6" s="9">
        <v>-5</v>
      </c>
      <c r="V6" s="8">
        <v>-2.2000000000000002</v>
      </c>
    </row>
    <row r="7" spans="1:22" x14ac:dyDescent="0.15">
      <c r="A7" s="51" t="s">
        <v>660</v>
      </c>
      <c r="B7" s="49">
        <f>+D7</f>
        <v>-5.8</v>
      </c>
      <c r="C7" s="50">
        <f>+E7</f>
        <v>-8.1999999999999993</v>
      </c>
      <c r="D7" s="49">
        <v>-5.8</v>
      </c>
      <c r="E7" s="50">
        <v>-8.1999999999999993</v>
      </c>
      <c r="F7" s="60">
        <v>-8.1999999999999993</v>
      </c>
      <c r="I7" s="49">
        <v>-15.5</v>
      </c>
      <c r="J7" s="50">
        <v>0</v>
      </c>
      <c r="K7" s="49">
        <v>-4.5999999999999996</v>
      </c>
      <c r="L7" s="50">
        <v>-5</v>
      </c>
      <c r="M7" s="49">
        <v>-9.6</v>
      </c>
      <c r="N7" s="50">
        <v>-4</v>
      </c>
      <c r="O7" s="49">
        <v>-8.1999999999999993</v>
      </c>
      <c r="P7" s="50">
        <v>-14.5</v>
      </c>
      <c r="Q7" s="49">
        <v>0</v>
      </c>
      <c r="R7" s="50">
        <v>-3</v>
      </c>
      <c r="S7" s="49">
        <v>-5</v>
      </c>
      <c r="T7" s="50">
        <v>-3.3</v>
      </c>
      <c r="U7" s="49">
        <v>-4</v>
      </c>
      <c r="V7" s="50">
        <v>0</v>
      </c>
    </row>
    <row r="8" spans="1:22" x14ac:dyDescent="0.15">
      <c r="A8" s="6" t="s">
        <v>662</v>
      </c>
      <c r="B8" s="9">
        <f>-K6</f>
        <v>5.7</v>
      </c>
      <c r="C8" s="8">
        <f>-L6</f>
        <v>5</v>
      </c>
      <c r="D8" s="9">
        <v>9.3000000000000007</v>
      </c>
      <c r="E8" s="8">
        <v>22.8</v>
      </c>
      <c r="F8" s="10">
        <v>22.8</v>
      </c>
      <c r="I8" s="9">
        <v>9.3000000000000007</v>
      </c>
      <c r="J8" s="8">
        <v>22.8</v>
      </c>
      <c r="K8" s="9">
        <v>9.3000000000000007</v>
      </c>
      <c r="L8" s="8">
        <v>22.8</v>
      </c>
      <c r="M8" s="9">
        <v>9.3000000000000007</v>
      </c>
      <c r="N8" s="8">
        <v>22.8</v>
      </c>
      <c r="O8" s="9">
        <v>22.8</v>
      </c>
      <c r="P8" s="8">
        <v>5.2</v>
      </c>
      <c r="Q8" s="9">
        <v>22.8</v>
      </c>
      <c r="R8" s="8">
        <v>5.2</v>
      </c>
      <c r="S8" s="9">
        <v>22.8</v>
      </c>
      <c r="T8" s="8">
        <v>5.2</v>
      </c>
      <c r="U8" s="9">
        <v>22.8</v>
      </c>
      <c r="V8" s="8">
        <v>5.2</v>
      </c>
    </row>
    <row r="9" spans="1:22" ht="9.75" thickBot="1" x14ac:dyDescent="0.2">
      <c r="A9" s="51" t="s">
        <v>660</v>
      </c>
      <c r="B9" s="54">
        <f>-K7</f>
        <v>4.5999999999999996</v>
      </c>
      <c r="C9" s="55">
        <f>-L7</f>
        <v>5</v>
      </c>
      <c r="D9" s="54">
        <v>8.1999999999999993</v>
      </c>
      <c r="E9" s="55">
        <v>15</v>
      </c>
      <c r="F9" s="55">
        <v>15</v>
      </c>
      <c r="G9" s="56"/>
      <c r="H9" s="57"/>
      <c r="I9" s="54">
        <v>8.1999999999999993</v>
      </c>
      <c r="J9" s="55">
        <v>15</v>
      </c>
      <c r="K9" s="54">
        <v>8.1999999999999993</v>
      </c>
      <c r="L9" s="55">
        <v>15</v>
      </c>
      <c r="M9" s="54">
        <v>8.1999999999999993</v>
      </c>
      <c r="N9" s="55">
        <v>0</v>
      </c>
      <c r="O9" s="54">
        <v>15</v>
      </c>
      <c r="P9" s="55">
        <v>0</v>
      </c>
      <c r="Q9" s="54">
        <v>15</v>
      </c>
      <c r="R9" s="55"/>
      <c r="S9" s="54">
        <v>15</v>
      </c>
      <c r="T9" s="55"/>
      <c r="U9" s="54"/>
      <c r="V9" s="55"/>
    </row>
    <row r="10" spans="1:22" x14ac:dyDescent="0.15">
      <c r="A10" s="33" t="s">
        <v>659</v>
      </c>
      <c r="B10" s="34">
        <f>+B8+B4+B6</f>
        <v>42.900000000000006</v>
      </c>
      <c r="C10" s="35">
        <f>+C8+C4+C6</f>
        <v>126.29999999999998</v>
      </c>
      <c r="D10" s="34">
        <f>+D8+D4+D6</f>
        <v>92.7</v>
      </c>
      <c r="E10" s="35">
        <f>+E8+E4+E6</f>
        <v>232</v>
      </c>
      <c r="F10" s="35">
        <f>+F8+F4+F6</f>
        <v>232</v>
      </c>
      <c r="G10" s="12"/>
      <c r="I10" s="34">
        <f t="shared" ref="I10:J10" si="0">+I8+I4+I6</f>
        <v>71.7</v>
      </c>
      <c r="J10" s="35">
        <f t="shared" si="0"/>
        <v>193.20000000000002</v>
      </c>
      <c r="K10" s="34">
        <f t="shared" ref="K10:P10" si="1">+K8+K4+K6</f>
        <v>49.8</v>
      </c>
      <c r="L10" s="35">
        <f t="shared" si="1"/>
        <v>105.7</v>
      </c>
      <c r="M10" s="34">
        <f t="shared" si="1"/>
        <v>25.800000000000004</v>
      </c>
      <c r="N10" s="35">
        <f t="shared" si="1"/>
        <v>53.2</v>
      </c>
      <c r="O10" s="34">
        <f t="shared" si="1"/>
        <v>232</v>
      </c>
      <c r="P10" s="35">
        <f t="shared" si="1"/>
        <v>119.99999999999997</v>
      </c>
      <c r="Q10" s="34">
        <f t="shared" ref="Q10:V10" si="2">+Q8+Q4+Q6</f>
        <v>193.20000000000002</v>
      </c>
      <c r="R10" s="35">
        <f t="shared" si="2"/>
        <v>74</v>
      </c>
      <c r="S10" s="34">
        <f t="shared" si="2"/>
        <v>105.7</v>
      </c>
      <c r="T10" s="35">
        <f t="shared" si="2"/>
        <v>40.100000000000009</v>
      </c>
      <c r="U10" s="34">
        <f t="shared" si="2"/>
        <v>53.2</v>
      </c>
      <c r="V10" s="35">
        <f t="shared" si="2"/>
        <v>22.4</v>
      </c>
    </row>
    <row r="12" spans="1:22" x14ac:dyDescent="0.15">
      <c r="D12" s="14"/>
      <c r="I12" s="14"/>
      <c r="K12" s="14"/>
      <c r="M12" s="14"/>
      <c r="O12" s="14"/>
      <c r="Q12" s="14"/>
      <c r="S12" s="14"/>
    </row>
    <row r="14" spans="1:22" x14ac:dyDescent="0.15">
      <c r="B14" s="14"/>
      <c r="D14" s="14"/>
      <c r="I14" s="14"/>
      <c r="K14" s="14"/>
      <c r="M14" s="14"/>
      <c r="O14" s="14"/>
      <c r="Q14" s="14"/>
      <c r="S14" s="14"/>
    </row>
    <row r="16" spans="1:22" x14ac:dyDescent="0.15">
      <c r="A16" s="53" t="s">
        <v>663</v>
      </c>
    </row>
    <row r="17" spans="1:22" x14ac:dyDescent="0.15">
      <c r="A17" s="61" t="s">
        <v>664</v>
      </c>
      <c r="B17" s="62">
        <f>SUM(B5,B7,B9)</f>
        <v>20.499999999999993</v>
      </c>
      <c r="C17" s="62">
        <f>SUM(C5,C7,C9)</f>
        <v>112.4</v>
      </c>
      <c r="D17" s="62">
        <f>SUM(D5,D7,D9)</f>
        <v>58.7</v>
      </c>
      <c r="E17" s="62">
        <f>SUM(E5,E7,E9)</f>
        <v>190.20000000000002</v>
      </c>
      <c r="F17" s="62">
        <f>SUM(F5,F7,F9)</f>
        <v>190.20000000000002</v>
      </c>
      <c r="I17" s="62">
        <f>SUM(I5,I7,I9)</f>
        <v>49</v>
      </c>
      <c r="J17" s="62">
        <f>SUM(J5,J7,J9)</f>
        <v>155.30000000000001</v>
      </c>
      <c r="K17" s="62">
        <f>SUM(K5,K7,K9)</f>
        <v>38.200000000000003</v>
      </c>
      <c r="L17" s="62">
        <f t="shared" ref="L17:V17" si="3">SUM(L5,L7,L9)</f>
        <v>77.8</v>
      </c>
      <c r="M17" s="62">
        <f t="shared" si="3"/>
        <v>19.5</v>
      </c>
      <c r="N17" s="62">
        <f t="shared" si="3"/>
        <v>22.2</v>
      </c>
      <c r="O17" s="62">
        <f t="shared" si="3"/>
        <v>190.20000000000002</v>
      </c>
      <c r="P17" s="62">
        <f>SUM(P5,P7,P9)</f>
        <v>72.099999999999994</v>
      </c>
      <c r="Q17" s="62">
        <f t="shared" si="3"/>
        <v>155.30000000000001</v>
      </c>
      <c r="R17" s="62">
        <f t="shared" si="3"/>
        <v>27.3</v>
      </c>
      <c r="S17" s="62">
        <f t="shared" si="3"/>
        <v>77.8</v>
      </c>
      <c r="T17" s="62">
        <f t="shared" si="3"/>
        <v>0.70000000000000018</v>
      </c>
      <c r="U17" s="62">
        <f t="shared" si="3"/>
        <v>22.2</v>
      </c>
      <c r="V17" s="62">
        <f t="shared" si="3"/>
        <v>1.3</v>
      </c>
    </row>
    <row r="18" spans="1:22" x14ac:dyDescent="0.15">
      <c r="A18" s="61" t="s">
        <v>665</v>
      </c>
      <c r="B18" s="61"/>
      <c r="C18" s="61"/>
      <c r="D18" s="61"/>
      <c r="E18" s="61"/>
      <c r="F18" s="61"/>
      <c r="I18" s="61"/>
      <c r="J18" s="61"/>
      <c r="K18" s="61"/>
      <c r="L18" s="61"/>
    </row>
    <row r="19" spans="1:22" x14ac:dyDescent="0.15">
      <c r="A19" s="2" t="s">
        <v>666</v>
      </c>
      <c r="D19" s="2">
        <v>86.7</v>
      </c>
      <c r="E19" s="2">
        <v>-121.4</v>
      </c>
    </row>
    <row r="20" spans="1:22" x14ac:dyDescent="0.15">
      <c r="A20" s="2" t="s">
        <v>667</v>
      </c>
      <c r="D20" s="14">
        <f>+D17+D19</f>
        <v>145.4</v>
      </c>
      <c r="E20" s="14">
        <f>+E17+E19</f>
        <v>68.800000000000011</v>
      </c>
    </row>
  </sheetData>
  <phoneticPr fontId="7" type="noConversion"/>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6D7EC-12E1-4A58-8974-0690076FBE43}">
  <dimension ref="A1:D5"/>
  <sheetViews>
    <sheetView workbookViewId="0"/>
    <sheetView workbookViewId="1"/>
  </sheetViews>
  <sheetFormatPr defaultRowHeight="15" x14ac:dyDescent="0.25"/>
  <cols>
    <col min="1" max="1" width="33" customWidth="1"/>
    <col min="2" max="2" width="16.7109375" customWidth="1"/>
    <col min="3" max="3" width="13" customWidth="1"/>
    <col min="4" max="4" width="16.7109375" customWidth="1"/>
  </cols>
  <sheetData>
    <row r="1" spans="1:4" ht="21.75" customHeight="1" x14ac:dyDescent="0.25">
      <c r="A1" s="36" t="str">
        <f>+[2]rapkvart!B266</f>
        <v>Not 4 - Finansiella kostnader</v>
      </c>
      <c r="B1" s="52" t="s">
        <v>668</v>
      </c>
      <c r="C1" s="52" t="s">
        <v>669</v>
      </c>
      <c r="D1" s="52" t="s">
        <v>670</v>
      </c>
    </row>
    <row r="2" spans="1:4" ht="9" customHeight="1" x14ac:dyDescent="0.25">
      <c r="A2" s="6" t="s">
        <v>170</v>
      </c>
      <c r="B2" s="8">
        <v>7.7</v>
      </c>
      <c r="C2" s="8">
        <v>0</v>
      </c>
      <c r="D2" s="8">
        <v>7.7</v>
      </c>
    </row>
    <row r="3" spans="1:4" ht="9" customHeight="1" x14ac:dyDescent="0.25">
      <c r="A3" s="6" t="s">
        <v>171</v>
      </c>
      <c r="B3" s="10">
        <v>0</v>
      </c>
      <c r="C3" s="8">
        <v>12.8</v>
      </c>
      <c r="D3" s="8">
        <v>12.8</v>
      </c>
    </row>
    <row r="4" spans="1:4" ht="9" customHeight="1" x14ac:dyDescent="0.25">
      <c r="A4" s="6" t="s">
        <v>671</v>
      </c>
      <c r="B4" s="10">
        <v>1.2</v>
      </c>
      <c r="C4" s="8">
        <v>5.2</v>
      </c>
      <c r="D4" s="8">
        <v>6.4</v>
      </c>
    </row>
    <row r="5" spans="1:4" ht="9" customHeight="1" x14ac:dyDescent="0.25">
      <c r="A5" s="2" t="s">
        <v>672</v>
      </c>
      <c r="B5" s="14">
        <v>0</v>
      </c>
      <c r="C5" s="14">
        <v>7.6</v>
      </c>
      <c r="D5" s="14">
        <v>7.6</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A6C7-13D7-4452-995D-04A2B3F8CDF7}">
  <dimension ref="A1:B8"/>
  <sheetViews>
    <sheetView workbookViewId="0"/>
    <sheetView workbookViewId="1"/>
  </sheetViews>
  <sheetFormatPr defaultRowHeight="15" x14ac:dyDescent="0.25"/>
  <cols>
    <col min="1" max="1" width="48.28515625" bestFit="1" customWidth="1"/>
  </cols>
  <sheetData>
    <row r="1" spans="1:2" x14ac:dyDescent="0.25">
      <c r="A1" s="36" t="s">
        <v>221</v>
      </c>
      <c r="B1" s="37"/>
    </row>
    <row r="2" spans="1:2" ht="9" customHeight="1" x14ac:dyDescent="0.25">
      <c r="A2" s="6" t="s">
        <v>673</v>
      </c>
      <c r="B2" s="7">
        <v>14.1</v>
      </c>
    </row>
    <row r="3" spans="1:2" ht="9" customHeight="1" x14ac:dyDescent="0.25">
      <c r="A3" s="6" t="s">
        <v>674</v>
      </c>
      <c r="B3" s="7">
        <v>-0.5</v>
      </c>
    </row>
    <row r="4" spans="1:2" ht="9" customHeight="1" x14ac:dyDescent="0.25">
      <c r="A4" s="6" t="s">
        <v>675</v>
      </c>
      <c r="B4" s="7">
        <v>-0.2</v>
      </c>
    </row>
    <row r="5" spans="1:2" ht="9" customHeight="1" x14ac:dyDescent="0.25">
      <c r="A5" s="6" t="s">
        <v>676</v>
      </c>
      <c r="B5" s="7">
        <v>-0.6</v>
      </c>
    </row>
    <row r="6" spans="1:2" ht="9" customHeight="1" thickBot="1" x14ac:dyDescent="0.3">
      <c r="A6" s="6" t="s">
        <v>677</v>
      </c>
      <c r="B6" s="7">
        <v>1.2</v>
      </c>
    </row>
    <row r="7" spans="1:2" ht="9" customHeight="1" x14ac:dyDescent="0.25">
      <c r="A7" s="33" t="s">
        <v>678</v>
      </c>
      <c r="B7" s="34">
        <f>SUM(B2:B6)</f>
        <v>14</v>
      </c>
    </row>
    <row r="8" spans="1:2" x14ac:dyDescent="0.25">
      <c r="A8" s="2"/>
      <c r="B8" s="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C1413-464B-4AEF-B4C0-0F33D3B0279C}">
  <sheetPr>
    <tabColor theme="9" tint="-0.249977111117893"/>
  </sheetPr>
  <dimension ref="A1:Q128"/>
  <sheetViews>
    <sheetView showGridLines="0" tabSelected="1" zoomScale="85" zoomScaleNormal="85" workbookViewId="0">
      <pane xSplit="1" ySplit="5" topLeftCell="B6" activePane="bottomRight" state="frozen"/>
      <selection pane="topRight" activeCell="B1" sqref="B1"/>
      <selection pane="bottomLeft" activeCell="A6" sqref="A6"/>
      <selection pane="bottomRight" activeCell="J7" sqref="J7"/>
    </sheetView>
    <sheetView showGridLines="0" tabSelected="1" zoomScale="70" zoomScaleNormal="70" workbookViewId="1">
      <pane xSplit="1" ySplit="5" topLeftCell="B6" activePane="bottomRight" state="frozen"/>
      <selection pane="topRight" activeCell="B1" sqref="B1"/>
      <selection pane="bottomLeft" activeCell="A6" sqref="A6"/>
      <selection pane="bottomRight" activeCell="E43" sqref="E43"/>
    </sheetView>
  </sheetViews>
  <sheetFormatPr defaultRowHeight="11.25" outlineLevelCol="1" x14ac:dyDescent="0.2"/>
  <cols>
    <col min="1" max="1" width="41" style="2444" customWidth="1"/>
    <col min="2" max="2" width="1.85546875" style="2516" customWidth="1"/>
    <col min="3" max="8" width="10" style="2444" customWidth="1" outlineLevel="1"/>
    <col min="9" max="9" width="1.85546875" style="2516" customWidth="1"/>
    <col min="10" max="15" width="10" style="2444" customWidth="1"/>
    <col min="16" max="16384" width="9.140625" style="2444"/>
  </cols>
  <sheetData>
    <row r="1" spans="1:15" s="2443" customFormat="1" ht="18" x14ac:dyDescent="0.25">
      <c r="B1" s="2513"/>
      <c r="C1" s="2442" t="s">
        <v>947</v>
      </c>
      <c r="D1" s="2442"/>
      <c r="E1" s="2442"/>
      <c r="F1" s="2442"/>
      <c r="G1" s="2442"/>
      <c r="H1" s="2442"/>
      <c r="I1" s="2520"/>
      <c r="J1" s="2442" t="s">
        <v>948</v>
      </c>
    </row>
    <row r="3" spans="1:15" x14ac:dyDescent="0.2">
      <c r="A3" s="2445"/>
      <c r="B3" s="2514"/>
      <c r="C3" s="2446"/>
      <c r="D3" s="2446"/>
      <c r="E3" s="2446"/>
      <c r="F3" s="2446"/>
      <c r="G3" s="2446"/>
      <c r="H3" s="2445"/>
      <c r="J3" s="2446"/>
      <c r="K3" s="2446"/>
      <c r="L3" s="2446"/>
      <c r="M3" s="2446"/>
      <c r="N3" s="2446"/>
      <c r="O3" s="2445"/>
    </row>
    <row r="4" spans="1:15" x14ac:dyDescent="0.2">
      <c r="A4" s="2445"/>
      <c r="B4" s="2514"/>
      <c r="C4" s="2446" t="s">
        <v>198</v>
      </c>
      <c r="D4" s="2446" t="s">
        <v>198</v>
      </c>
      <c r="E4" s="2446" t="s">
        <v>220</v>
      </c>
      <c r="F4" s="2446" t="s">
        <v>220</v>
      </c>
      <c r="G4" s="2446" t="s">
        <v>920</v>
      </c>
      <c r="H4" s="2446" t="s">
        <v>946</v>
      </c>
      <c r="J4" s="2446" t="str">
        <f>C4</f>
        <v>Kvartal 2</v>
      </c>
      <c r="K4" s="2446" t="str">
        <f t="shared" ref="K4:M5" si="0">D4</f>
        <v>Kvartal 2</v>
      </c>
      <c r="L4" s="2446" t="str">
        <f t="shared" si="0"/>
        <v>Kvartal 1-2</v>
      </c>
      <c r="M4" s="2446" t="str">
        <f t="shared" si="0"/>
        <v>Kvartal 1-2</v>
      </c>
      <c r="N4" s="2446" t="str">
        <f t="shared" ref="N4:N5" si="1">G4</f>
        <v>12 mån</v>
      </c>
      <c r="O4" s="2446" t="str">
        <f t="shared" ref="O4:O5" si="2">H4</f>
        <v>Fullår</v>
      </c>
    </row>
    <row r="5" spans="1:15" x14ac:dyDescent="0.2">
      <c r="A5" s="2447"/>
      <c r="B5" s="2514"/>
      <c r="C5" s="2448">
        <v>2026</v>
      </c>
      <c r="D5" s="2448">
        <v>2025</v>
      </c>
      <c r="E5" s="2448">
        <v>2026</v>
      </c>
      <c r="F5" s="2448">
        <v>2025</v>
      </c>
      <c r="G5" s="2448" t="s">
        <v>921</v>
      </c>
      <c r="H5" s="2448">
        <v>2025</v>
      </c>
      <c r="J5" s="2448">
        <f>C5</f>
        <v>2026</v>
      </c>
      <c r="K5" s="2448">
        <f t="shared" si="0"/>
        <v>2025</v>
      </c>
      <c r="L5" s="2448">
        <f t="shared" si="0"/>
        <v>2026</v>
      </c>
      <c r="M5" s="2448">
        <f t="shared" si="0"/>
        <v>2025</v>
      </c>
      <c r="N5" s="2448" t="str">
        <f t="shared" si="1"/>
        <v>rullande</v>
      </c>
      <c r="O5" s="2448">
        <f t="shared" si="2"/>
        <v>2025</v>
      </c>
    </row>
    <row r="6" spans="1:15" s="2449" customFormat="1" x14ac:dyDescent="0.2">
      <c r="A6" s="2449" t="s">
        <v>10</v>
      </c>
      <c r="B6" s="2515"/>
      <c r="C6" s="2462"/>
      <c r="D6" s="2462"/>
      <c r="E6" s="2462"/>
      <c r="F6" s="2462"/>
      <c r="G6" s="2462"/>
      <c r="H6" s="2462"/>
      <c r="I6" s="2515"/>
    </row>
    <row r="7" spans="1:15" x14ac:dyDescent="0.2">
      <c r="A7" s="2444" t="s">
        <v>294</v>
      </c>
      <c r="C7" s="2468">
        <f>'Koncern RR '!FP16</f>
        <v>67.17285600000011</v>
      </c>
      <c r="D7" s="2468">
        <f>'Koncern RR '!FQ16</f>
        <v>16.674999999999798</v>
      </c>
      <c r="E7" s="2468">
        <f>'Koncern RR '!FR16</f>
        <v>93.272214000000076</v>
      </c>
      <c r="F7" s="2468">
        <f>'Koncern RR '!FS16</f>
        <v>49.549999999999862</v>
      </c>
      <c r="G7" s="2468">
        <f>'Koncern RR '!FT16</f>
        <v>94.922214000000281</v>
      </c>
      <c r="H7" s="2468">
        <f>'Koncern RR '!FU16</f>
        <v>51.200000000000053</v>
      </c>
      <c r="I7" s="2521"/>
      <c r="J7" s="2468">
        <f>'Koncern RR '!FW16</f>
        <v>92.400000000000063</v>
      </c>
      <c r="K7" s="2468">
        <f>'Koncern RR '!FX16</f>
        <v>40.399999999999849</v>
      </c>
      <c r="L7" s="2468">
        <f>'Koncern RR '!FY16</f>
        <v>142.80000000000004</v>
      </c>
      <c r="M7" s="2468">
        <f>'Koncern RR '!FZ16</f>
        <v>97.899999999999949</v>
      </c>
      <c r="N7" s="2468">
        <f>'Koncern RR '!GA16</f>
        <v>193.50000000000023</v>
      </c>
      <c r="O7" s="2468">
        <f>'Koncern RR '!GB16</f>
        <v>148.60000000000014</v>
      </c>
    </row>
    <row r="8" spans="1:15" x14ac:dyDescent="0.2">
      <c r="A8" s="2444" t="s">
        <v>922</v>
      </c>
      <c r="C8" s="2468">
        <f>'Koncern RR '!FP15*-1</f>
        <v>46.927143999999998</v>
      </c>
      <c r="D8" s="2468">
        <f>'Koncern RR '!FQ15*-1</f>
        <v>46.524999999999999</v>
      </c>
      <c r="E8" s="2468">
        <f>'Koncern RR '!FR15*-1</f>
        <v>93.227786000000009</v>
      </c>
      <c r="F8" s="2468">
        <f>'Koncern RR '!FS15*-1</f>
        <v>93.05</v>
      </c>
      <c r="G8" s="2468">
        <f>'Koncern RR '!FT15*-1</f>
        <v>186.27778599999999</v>
      </c>
      <c r="H8" s="2468">
        <f>'Koncern RR '!FU15*-1</f>
        <v>186.1</v>
      </c>
      <c r="I8" s="2521"/>
      <c r="J8" s="2468">
        <f>'Koncern RR '!FW15*-1</f>
        <v>21.699999999999996</v>
      </c>
      <c r="K8" s="2468">
        <f>'Koncern RR '!FX15*-1</f>
        <v>22.8</v>
      </c>
      <c r="L8" s="2468">
        <f>'Koncern RR '!FY15*-1</f>
        <v>43.7</v>
      </c>
      <c r="M8" s="2468">
        <f>'Koncern RR '!FZ15*-1</f>
        <v>44.7</v>
      </c>
      <c r="N8" s="2468">
        <f>'Koncern RR '!GA15*-1</f>
        <v>87.699999999999989</v>
      </c>
      <c r="O8" s="2468">
        <f>'Koncern RR '!GB15*-1</f>
        <v>88.7</v>
      </c>
    </row>
    <row r="9" spans="1:15" s="2449" customFormat="1" x14ac:dyDescent="0.2">
      <c r="A9" s="2450" t="s">
        <v>10</v>
      </c>
      <c r="B9" s="2515"/>
      <c r="C9" s="2469">
        <f>C7+C8</f>
        <v>114.10000000000011</v>
      </c>
      <c r="D9" s="2469">
        <f t="shared" ref="D9:H9" si="3">D7+D8</f>
        <v>63.199999999999797</v>
      </c>
      <c r="E9" s="2469">
        <f t="shared" si="3"/>
        <v>186.50000000000009</v>
      </c>
      <c r="F9" s="2469">
        <f t="shared" si="3"/>
        <v>142.59999999999985</v>
      </c>
      <c r="G9" s="2469">
        <f t="shared" si="3"/>
        <v>281.20000000000027</v>
      </c>
      <c r="H9" s="2469">
        <f t="shared" si="3"/>
        <v>237.30000000000004</v>
      </c>
      <c r="I9" s="2522"/>
      <c r="J9" s="2469">
        <f>J7+J8</f>
        <v>114.10000000000005</v>
      </c>
      <c r="K9" s="2469">
        <f t="shared" ref="K9:O9" si="4">K7+K8</f>
        <v>63.199999999999847</v>
      </c>
      <c r="L9" s="2469">
        <f t="shared" si="4"/>
        <v>186.50000000000006</v>
      </c>
      <c r="M9" s="2469">
        <f t="shared" si="4"/>
        <v>142.59999999999997</v>
      </c>
      <c r="N9" s="2469">
        <f t="shared" si="4"/>
        <v>281.20000000000022</v>
      </c>
      <c r="O9" s="2469">
        <f t="shared" si="4"/>
        <v>237.30000000000013</v>
      </c>
    </row>
    <row r="10" spans="1:15" x14ac:dyDescent="0.2">
      <c r="C10" s="2468"/>
      <c r="D10" s="2468"/>
      <c r="E10" s="2468"/>
      <c r="F10" s="2468"/>
      <c r="G10" s="2468"/>
      <c r="H10" s="2468"/>
      <c r="I10" s="2521"/>
      <c r="J10" s="2468"/>
      <c r="K10" s="2468"/>
      <c r="L10" s="2468"/>
      <c r="M10" s="2468"/>
      <c r="N10" s="2468"/>
      <c r="O10" s="2468"/>
    </row>
    <row r="11" spans="1:15" s="2449" customFormat="1" x14ac:dyDescent="0.2">
      <c r="A11" s="2449" t="s">
        <v>325</v>
      </c>
      <c r="B11" s="2515"/>
      <c r="C11" s="2466"/>
      <c r="D11" s="2466"/>
      <c r="E11" s="2466"/>
      <c r="F11" s="2466"/>
      <c r="G11" s="2466"/>
      <c r="H11" s="2466"/>
      <c r="I11" s="2522"/>
      <c r="J11" s="2466"/>
      <c r="K11" s="2466"/>
      <c r="L11" s="2466"/>
      <c r="M11" s="2466"/>
      <c r="N11" s="2466"/>
      <c r="O11" s="2466"/>
    </row>
    <row r="12" spans="1:15" x14ac:dyDescent="0.2">
      <c r="A12" s="2444" t="s">
        <v>248</v>
      </c>
      <c r="C12" s="2468">
        <f>C7</f>
        <v>67.17285600000011</v>
      </c>
      <c r="D12" s="2468">
        <f t="shared" ref="D12:H12" si="5">D7</f>
        <v>16.674999999999798</v>
      </c>
      <c r="E12" s="2468">
        <f t="shared" si="5"/>
        <v>93.272214000000076</v>
      </c>
      <c r="F12" s="2468">
        <f t="shared" si="5"/>
        <v>49.549999999999862</v>
      </c>
      <c r="G12" s="2468">
        <f t="shared" si="5"/>
        <v>94.922214000000281</v>
      </c>
      <c r="H12" s="2468">
        <f t="shared" si="5"/>
        <v>51.200000000000053</v>
      </c>
      <c r="I12" s="2521"/>
      <c r="J12" s="2468">
        <f>J7</f>
        <v>92.400000000000063</v>
      </c>
      <c r="K12" s="2468">
        <f t="shared" ref="K12:O12" si="6">K7</f>
        <v>40.399999999999849</v>
      </c>
      <c r="L12" s="2468">
        <f t="shared" si="6"/>
        <v>142.80000000000004</v>
      </c>
      <c r="M12" s="2468">
        <f t="shared" si="6"/>
        <v>97.899999999999949</v>
      </c>
      <c r="N12" s="2468">
        <f t="shared" si="6"/>
        <v>193.50000000000023</v>
      </c>
      <c r="O12" s="2468">
        <f t="shared" si="6"/>
        <v>148.60000000000014</v>
      </c>
    </row>
    <row r="13" spans="1:15" x14ac:dyDescent="0.2">
      <c r="A13" s="2451" t="s">
        <v>2</v>
      </c>
      <c r="C13" s="2470">
        <f>'Koncern RR '!FP12</f>
        <v>684.69999999999993</v>
      </c>
      <c r="D13" s="2470">
        <f>'Koncern RR '!FQ12</f>
        <v>671.99999999999989</v>
      </c>
      <c r="E13" s="2470">
        <f>'Koncern RR '!FR12</f>
        <v>1294.3</v>
      </c>
      <c r="F13" s="2470">
        <f>'Koncern RR '!FS12</f>
        <v>1311.6</v>
      </c>
      <c r="G13" s="2470">
        <f>'Koncern RR '!FT12</f>
        <v>2312.5</v>
      </c>
      <c r="H13" s="2470">
        <f>'Koncern RR '!FU12</f>
        <v>2329.8000000000002</v>
      </c>
      <c r="I13" s="2521"/>
      <c r="J13" s="2470">
        <f>'Koncern RR '!FW12</f>
        <v>684.69999999999993</v>
      </c>
      <c r="K13" s="2470">
        <f>'Koncern RR '!FX12</f>
        <v>671.99999999999989</v>
      </c>
      <c r="L13" s="2470">
        <f>'Koncern RR '!FY12</f>
        <v>1294.3</v>
      </c>
      <c r="M13" s="2470">
        <f>'Koncern RR '!FZ12</f>
        <v>1311.6</v>
      </c>
      <c r="N13" s="2470">
        <f>'Koncern RR '!GA12</f>
        <v>2312.5</v>
      </c>
      <c r="O13" s="2470">
        <f>'Koncern RR '!GB12</f>
        <v>2329.8000000000002</v>
      </c>
    </row>
    <row r="14" spans="1:15" s="2449" customFormat="1" x14ac:dyDescent="0.2">
      <c r="A14" s="2449" t="s">
        <v>325</v>
      </c>
      <c r="B14" s="2515"/>
      <c r="C14" s="2466">
        <f>(C12/C13)*100</f>
        <v>9.8105529428947147</v>
      </c>
      <c r="D14" s="2466">
        <f t="shared" ref="D14:H14" si="7">(D12/D13)*100</f>
        <v>2.48139880952378</v>
      </c>
      <c r="E14" s="2466">
        <f t="shared" si="7"/>
        <v>7.2063829096809151</v>
      </c>
      <c r="F14" s="2466">
        <f t="shared" si="7"/>
        <v>3.7778286062823927</v>
      </c>
      <c r="G14" s="2466">
        <f t="shared" si="7"/>
        <v>4.104744389189201</v>
      </c>
      <c r="H14" s="2466">
        <f t="shared" si="7"/>
        <v>2.1976135290582901</v>
      </c>
      <c r="I14" s="2522"/>
      <c r="J14" s="2466">
        <f>(J12/J13)*100</f>
        <v>13.494961296918371</v>
      </c>
      <c r="K14" s="2466">
        <f t="shared" ref="K14:O14" si="8">(K12/K13)*100</f>
        <v>6.0119047619047405</v>
      </c>
      <c r="L14" s="2466">
        <f t="shared" si="8"/>
        <v>11.032990805840999</v>
      </c>
      <c r="M14" s="2466">
        <f t="shared" si="8"/>
        <v>7.4641659042390938</v>
      </c>
      <c r="N14" s="2466">
        <f t="shared" si="8"/>
        <v>8.3675675675675762</v>
      </c>
      <c r="O14" s="2466">
        <f t="shared" si="8"/>
        <v>6.3782298909777708</v>
      </c>
    </row>
    <row r="15" spans="1:15" x14ac:dyDescent="0.2">
      <c r="C15" s="2468"/>
      <c r="D15" s="2468"/>
      <c r="E15" s="2468"/>
      <c r="F15" s="2468"/>
      <c r="G15" s="2468"/>
      <c r="H15" s="2468"/>
      <c r="I15" s="2521"/>
      <c r="J15" s="2468"/>
      <c r="K15" s="2468"/>
      <c r="L15" s="2468"/>
      <c r="M15" s="2468"/>
      <c r="N15" s="2468"/>
      <c r="O15" s="2468"/>
    </row>
    <row r="16" spans="1:15" s="2449" customFormat="1" x14ac:dyDescent="0.2">
      <c r="A16" s="2449" t="s">
        <v>331</v>
      </c>
      <c r="B16" s="2515"/>
      <c r="C16" s="2466"/>
      <c r="D16" s="2466"/>
      <c r="E16" s="2466"/>
      <c r="F16" s="2466"/>
      <c r="G16" s="2466"/>
      <c r="H16" s="2466"/>
      <c r="I16" s="2522"/>
      <c r="J16" s="2466"/>
      <c r="K16" s="2466"/>
      <c r="L16" s="2466"/>
      <c r="M16" s="2466"/>
      <c r="N16" s="2466"/>
      <c r="O16" s="2466"/>
    </row>
    <row r="17" spans="1:15" x14ac:dyDescent="0.2">
      <c r="A17" s="2444" t="s">
        <v>329</v>
      </c>
      <c r="C17" s="2468">
        <f>'Koncern RR '!HJ34</f>
        <v>62.872856000000112</v>
      </c>
      <c r="D17" s="2468">
        <f>'Koncern RR '!HK34</f>
        <v>10.874999999999797</v>
      </c>
      <c r="E17" s="2468">
        <f>'Koncern RR '!HL34</f>
        <v>85.772214000000091</v>
      </c>
      <c r="F17" s="2468">
        <f>'Koncern RR '!HM34</f>
        <v>45.149999999999864</v>
      </c>
      <c r="G17" s="2468">
        <f>'Koncern RR '!HN34</f>
        <v>84.922214000000281</v>
      </c>
      <c r="H17" s="2468">
        <f>'Koncern RR '!HO34</f>
        <v>44.300000000000054</v>
      </c>
      <c r="I17" s="2521"/>
      <c r="J17" s="2468">
        <f>'Koncern RR '!HJ60</f>
        <v>88.100000000000065</v>
      </c>
      <c r="K17" s="2468">
        <f>'Koncern RR '!HK60</f>
        <v>34.599999999999852</v>
      </c>
      <c r="L17" s="2468">
        <f>'Koncern RR '!HL60</f>
        <v>135.30000000000004</v>
      </c>
      <c r="M17" s="2468">
        <f>'Koncern RR '!HM60</f>
        <v>93.499999999999943</v>
      </c>
      <c r="N17" s="2468">
        <f>'Koncern RR '!HN60</f>
        <v>183.50000000000023</v>
      </c>
      <c r="O17" s="2468">
        <f>'Koncern RR '!HO60</f>
        <v>141.70000000000013</v>
      </c>
    </row>
    <row r="18" spans="1:15" x14ac:dyDescent="0.2">
      <c r="A18" s="2451" t="s">
        <v>2</v>
      </c>
      <c r="C18" s="2470">
        <f>C13</f>
        <v>684.69999999999993</v>
      </c>
      <c r="D18" s="2470">
        <f t="shared" ref="D18:H18" si="9">D13</f>
        <v>671.99999999999989</v>
      </c>
      <c r="E18" s="2470">
        <f t="shared" si="9"/>
        <v>1294.3</v>
      </c>
      <c r="F18" s="2470">
        <f t="shared" si="9"/>
        <v>1311.6</v>
      </c>
      <c r="G18" s="2470">
        <f t="shared" si="9"/>
        <v>2312.5</v>
      </c>
      <c r="H18" s="2470">
        <f t="shared" si="9"/>
        <v>2329.8000000000002</v>
      </c>
      <c r="I18" s="2521"/>
      <c r="J18" s="2470">
        <f>J13</f>
        <v>684.69999999999993</v>
      </c>
      <c r="K18" s="2470">
        <f t="shared" ref="K18:O18" si="10">K13</f>
        <v>671.99999999999989</v>
      </c>
      <c r="L18" s="2470">
        <f t="shared" si="10"/>
        <v>1294.3</v>
      </c>
      <c r="M18" s="2470">
        <f t="shared" si="10"/>
        <v>1311.6</v>
      </c>
      <c r="N18" s="2470">
        <f t="shared" si="10"/>
        <v>2312.5</v>
      </c>
      <c r="O18" s="2470">
        <f t="shared" si="10"/>
        <v>2329.8000000000002</v>
      </c>
    </row>
    <row r="19" spans="1:15" s="2449" customFormat="1" x14ac:dyDescent="0.2">
      <c r="A19" s="2449" t="s">
        <v>331</v>
      </c>
      <c r="B19" s="2515"/>
      <c r="C19" s="2466">
        <f>(C17/C18)*100</f>
        <v>9.1825406747480827</v>
      </c>
      <c r="D19" s="2466">
        <f t="shared" ref="D19:H19" si="11">(D17/D18)*100</f>
        <v>1.6183035714285416</v>
      </c>
      <c r="E19" s="2466">
        <f t="shared" si="11"/>
        <v>6.6269191068531326</v>
      </c>
      <c r="F19" s="2466">
        <f t="shared" si="11"/>
        <v>3.4423604757547932</v>
      </c>
      <c r="G19" s="2466">
        <f t="shared" si="11"/>
        <v>3.6723119567567686</v>
      </c>
      <c r="H19" s="2466">
        <f t="shared" si="11"/>
        <v>1.9014507683062947</v>
      </c>
      <c r="I19" s="2522"/>
      <c r="J19" s="2466">
        <f>(J17/J18)*100</f>
        <v>12.866949028771735</v>
      </c>
      <c r="K19" s="2466">
        <f t="shared" ref="K19:O19" si="12">(K17/K18)*100</f>
        <v>5.1488095238095024</v>
      </c>
      <c r="L19" s="2466">
        <f t="shared" si="12"/>
        <v>10.453527003013214</v>
      </c>
      <c r="M19" s="2466">
        <f t="shared" si="12"/>
        <v>7.1286977737114938</v>
      </c>
      <c r="N19" s="2466">
        <f t="shared" si="12"/>
        <v>7.9351351351351447</v>
      </c>
      <c r="O19" s="2466">
        <f t="shared" si="12"/>
        <v>6.0820671302257754</v>
      </c>
    </row>
    <row r="20" spans="1:15" x14ac:dyDescent="0.2">
      <c r="C20" s="2468"/>
      <c r="D20" s="2468"/>
      <c r="E20" s="2468"/>
      <c r="F20" s="2468"/>
      <c r="G20" s="2468"/>
      <c r="H20" s="2468"/>
      <c r="I20" s="2521"/>
      <c r="J20" s="2468"/>
      <c r="K20" s="2468"/>
      <c r="L20" s="2468"/>
      <c r="M20" s="2468"/>
      <c r="N20" s="2468"/>
      <c r="O20" s="2468"/>
    </row>
    <row r="21" spans="1:15" s="2449" customFormat="1" x14ac:dyDescent="0.2">
      <c r="A21" s="2449" t="s">
        <v>33</v>
      </c>
      <c r="B21" s="2515"/>
      <c r="C21" s="2466"/>
      <c r="D21" s="2466"/>
      <c r="E21" s="2466"/>
      <c r="F21" s="2466"/>
      <c r="G21" s="2466"/>
      <c r="H21" s="2466"/>
      <c r="I21" s="2522"/>
      <c r="J21" s="2466"/>
      <c r="K21" s="2466"/>
      <c r="L21" s="2466"/>
      <c r="M21" s="2466"/>
      <c r="N21" s="2466"/>
      <c r="O21" s="2466"/>
    </row>
    <row r="22" spans="1:15" x14ac:dyDescent="0.2">
      <c r="A22" s="2444" t="s">
        <v>923</v>
      </c>
      <c r="C22" s="2461">
        <f>(C24/100)*C23</f>
        <v>197.09219065600038</v>
      </c>
      <c r="D22" s="2461">
        <f t="shared" ref="D22:H22" si="13">(D24/100)*D23</f>
        <v>4.406999999999357</v>
      </c>
      <c r="E22" s="2461">
        <f t="shared" si="13"/>
        <v>129.24027583200012</v>
      </c>
      <c r="F22" s="2461">
        <f t="shared" si="13"/>
        <v>51.124199999999774</v>
      </c>
      <c r="G22" s="2461">
        <f t="shared" si="13"/>
        <v>41.83223791600021</v>
      </c>
      <c r="H22" s="2461">
        <f t="shared" si="13"/>
        <v>2.7742000000000395</v>
      </c>
      <c r="I22" s="2521"/>
      <c r="J22" s="2461">
        <f>(J24/100)*J23</f>
        <v>280.00000000000023</v>
      </c>
      <c r="K22" s="2461">
        <f t="shared" ref="K22:O22" si="14">(K24/100)*K23</f>
        <v>72.399999999999423</v>
      </c>
      <c r="L22" s="2461">
        <f t="shared" si="14"/>
        <v>208.00000000000009</v>
      </c>
      <c r="M22" s="2461">
        <f t="shared" si="14"/>
        <v>122.99999999999982</v>
      </c>
      <c r="N22" s="2461">
        <f t="shared" si="14"/>
        <v>120.60000000000022</v>
      </c>
      <c r="O22" s="2461">
        <f t="shared" si="14"/>
        <v>78.100000000000108</v>
      </c>
    </row>
    <row r="23" spans="1:15" x14ac:dyDescent="0.2">
      <c r="A23" s="2444" t="s">
        <v>937</v>
      </c>
      <c r="C23" s="2461">
        <f>'Koncern RR '!HJ161</f>
        <v>1541.629429705546</v>
      </c>
      <c r="D23" s="2461">
        <f>'Koncern RR '!HK161</f>
        <v>1460.5921681966909</v>
      </c>
      <c r="E23" s="2461">
        <f>'Koncern RR '!HL161</f>
        <v>1533.0269815200004</v>
      </c>
      <c r="F23" s="2461">
        <f>'Koncern RR '!HM161</f>
        <v>1432.9228039581544</v>
      </c>
      <c r="G23" s="2461">
        <f>'Koncern RR '!HN161</f>
        <v>1518.6992250781304</v>
      </c>
      <c r="H23" s="2461">
        <f>'Koncern RR '!HO161</f>
        <v>1447.2505604000244</v>
      </c>
      <c r="I23" s="2521"/>
      <c r="J23" s="2461">
        <f>'Koncern RR '!HJ254</f>
        <v>771.4</v>
      </c>
      <c r="K23" s="2461">
        <f>'Koncern RR '!HK254</f>
        <v>709.5</v>
      </c>
      <c r="L23" s="2461">
        <f>'Koncern RR '!HL254</f>
        <v>760.15</v>
      </c>
      <c r="M23" s="2461">
        <f>'Koncern RR '!HM254</f>
        <v>685.59999999999991</v>
      </c>
      <c r="N23" s="2461">
        <f>'Koncern RR '!HN254</f>
        <v>751.2</v>
      </c>
      <c r="O23" s="2461">
        <f>'Koncern RR '!HO254</f>
        <v>694.55</v>
      </c>
    </row>
    <row r="24" spans="1:15" s="2449" customFormat="1" x14ac:dyDescent="0.2">
      <c r="A24" s="2450" t="s">
        <v>33</v>
      </c>
      <c r="B24" s="2515"/>
      <c r="C24" s="2471">
        <f>'Koncern RR '!HJ162*100</f>
        <v>12.784667109893286</v>
      </c>
      <c r="D24" s="2471">
        <f>'Koncern RR '!HK162*100</f>
        <v>0.30172693623576158</v>
      </c>
      <c r="E24" s="2471">
        <f>'Koncern RR '!HL162*100</f>
        <v>8.4303979897247494</v>
      </c>
      <c r="F24" s="2471">
        <f>'Koncern RR '!HM162*100</f>
        <v>3.5678265332074894</v>
      </c>
      <c r="G24" s="2471">
        <f>'Koncern RR '!HN162*100</f>
        <v>2.7544781234643825</v>
      </c>
      <c r="H24" s="2471">
        <f>'Koncern RR '!HO162*100</f>
        <v>0.19168760931301643</v>
      </c>
      <c r="I24" s="2522"/>
      <c r="J24" s="2471">
        <f>'Koncern RR '!HJ255*100</f>
        <v>36.297640653357568</v>
      </c>
      <c r="K24" s="2471">
        <f>'Koncern RR '!HK255*100</f>
        <v>10.204369274136635</v>
      </c>
      <c r="L24" s="2471">
        <f>'Koncern RR '!HL255*100</f>
        <v>27.363020456488861</v>
      </c>
      <c r="M24" s="2471">
        <f>'Koncern RR '!HM255*100</f>
        <v>17.940490081680256</v>
      </c>
      <c r="N24" s="2471">
        <f>'Koncern RR '!HN255*100</f>
        <v>16.054313099041561</v>
      </c>
      <c r="O24" s="2471">
        <f>'Koncern RR '!HO255*100</f>
        <v>11.244690806997353</v>
      </c>
    </row>
    <row r="25" spans="1:15" x14ac:dyDescent="0.2">
      <c r="C25" s="2461"/>
      <c r="D25" s="2461"/>
      <c r="E25" s="2461"/>
      <c r="F25" s="2461"/>
      <c r="G25" s="2461"/>
      <c r="H25" s="2461"/>
      <c r="I25" s="2521"/>
      <c r="J25" s="2461"/>
      <c r="K25" s="2461"/>
      <c r="L25" s="2461"/>
      <c r="M25" s="2461"/>
      <c r="N25" s="2461"/>
      <c r="O25" s="2461"/>
    </row>
    <row r="26" spans="1:15" s="2449" customFormat="1" x14ac:dyDescent="0.2">
      <c r="A26" s="2449" t="s">
        <v>343</v>
      </c>
      <c r="B26" s="2515"/>
      <c r="C26" s="2466"/>
      <c r="D26" s="2466"/>
      <c r="E26" s="2466"/>
      <c r="F26" s="2466"/>
      <c r="G26" s="2466"/>
      <c r="H26" s="2466"/>
      <c r="I26" s="2522"/>
      <c r="J26" s="2466"/>
      <c r="K26" s="2466"/>
      <c r="L26" s="2466"/>
      <c r="M26" s="2466"/>
      <c r="N26" s="2466"/>
      <c r="O26" s="2466"/>
    </row>
    <row r="27" spans="1:15" x14ac:dyDescent="0.2">
      <c r="A27" s="2444" t="s">
        <v>925</v>
      </c>
      <c r="C27" s="2461">
        <f>'Koncern RR '!HJ143</f>
        <v>251.49142400000045</v>
      </c>
      <c r="D27" s="2461">
        <f>'Koncern RR '!HK143</f>
        <v>43.49999999999919</v>
      </c>
      <c r="E27" s="2461">
        <f>'Koncern RR '!HL143</f>
        <v>171.54442800000018</v>
      </c>
      <c r="F27" s="2461">
        <f>'Koncern RR '!HM143</f>
        <v>90.299999999999727</v>
      </c>
      <c r="G27" s="2461">
        <f>'Koncern RR '!HN143</f>
        <v>84.922214000000281</v>
      </c>
      <c r="H27" s="2461">
        <f>'Koncern RR '!HO143</f>
        <v>44.300000000000054</v>
      </c>
      <c r="I27" s="2521"/>
      <c r="J27" s="2461">
        <f>'Koncern RR '!HJ236</f>
        <v>352.40000000000026</v>
      </c>
      <c r="K27" s="2461">
        <f>'Koncern RR '!HK236</f>
        <v>138.39999999999941</v>
      </c>
      <c r="L27" s="2461">
        <f>'Koncern RR '!HL236</f>
        <v>270.60000000000008</v>
      </c>
      <c r="M27" s="2461">
        <f>'Koncern RR '!HM236</f>
        <v>186.99999999999989</v>
      </c>
      <c r="N27" s="2461">
        <f>'Koncern RR '!HN236</f>
        <v>183.50000000000023</v>
      </c>
      <c r="O27" s="2461">
        <f>'Koncern RR '!HO236</f>
        <v>141.70000000000013</v>
      </c>
    </row>
    <row r="28" spans="1:15" x14ac:dyDescent="0.2">
      <c r="A28" s="2444" t="s">
        <v>926</v>
      </c>
      <c r="C28" s="2461">
        <f>'Koncern RR '!HJ144</f>
        <v>9.3685327199999975</v>
      </c>
      <c r="D28" s="2461">
        <f>'Koncern RR '!HK144</f>
        <v>5.3608520799999999</v>
      </c>
      <c r="E28" s="2461">
        <f>'Koncern RR '!HL144</f>
        <v>8.5765675199999993</v>
      </c>
      <c r="F28" s="2461">
        <f>'Koncern RR '!HM144</f>
        <v>5.7047858599999994</v>
      </c>
      <c r="G28" s="2461">
        <f>'Koncern RR '!HN144</f>
        <v>7.6229817099999995</v>
      </c>
      <c r="H28" s="2461">
        <f>'Koncern RR '!HO144</f>
        <v>6.1870908799999995</v>
      </c>
      <c r="I28" s="2521"/>
      <c r="J28" s="2461">
        <f>'Koncern RR '!HJ237</f>
        <v>9.3685327199999975</v>
      </c>
      <c r="K28" s="2461">
        <f>'Koncern RR '!HK237</f>
        <v>5.3608520799999999</v>
      </c>
      <c r="L28" s="2461">
        <f>'Koncern RR '!HL237</f>
        <v>8.5765675199999993</v>
      </c>
      <c r="M28" s="2461">
        <f>'Koncern RR '!HM237</f>
        <v>5.7047858599999994</v>
      </c>
      <c r="N28" s="2461">
        <f>'Koncern RR '!HN237</f>
        <v>7.6229817099999995</v>
      </c>
      <c r="O28" s="2461">
        <f>'Koncern RR '!HO237</f>
        <v>6.1870908799999995</v>
      </c>
    </row>
    <row r="29" spans="1:15" x14ac:dyDescent="0.2">
      <c r="A29" s="2444" t="s">
        <v>943</v>
      </c>
      <c r="C29" s="2461">
        <f>'Koncern RR '!HJ147</f>
        <v>2437.3122540372115</v>
      </c>
      <c r="D29" s="2461">
        <f>'Koncern RR '!HK147</f>
        <v>2414.9599095676208</v>
      </c>
      <c r="E29" s="2461">
        <f>'Koncern RR '!HL147</f>
        <v>2412.7967021662471</v>
      </c>
      <c r="F29" s="2461">
        <f>'Koncern RR '!HM147</f>
        <v>2356.8125994435195</v>
      </c>
      <c r="G29" s="2461">
        <f>'Koncern RR '!HN147</f>
        <v>2442.3737091664111</v>
      </c>
      <c r="H29" s="2461">
        <f>'Koncern RR '!HO147</f>
        <v>2327.2355924433555</v>
      </c>
      <c r="I29" s="2521"/>
      <c r="J29" s="2461">
        <f>'Koncern RR '!HJ240</f>
        <v>1467.25</v>
      </c>
      <c r="K29" s="2461">
        <f>'Koncern RR '!HK240</f>
        <v>1469</v>
      </c>
      <c r="L29" s="2461">
        <f>'Koncern RR '!HL240</f>
        <v>1439.3999999999999</v>
      </c>
      <c r="M29" s="2461">
        <f>'Koncern RR '!HM240</f>
        <v>1415.6</v>
      </c>
      <c r="N29" s="2461">
        <f>'Koncern RR '!HN240</f>
        <v>1475.75</v>
      </c>
      <c r="O29" s="2461">
        <f>'Koncern RR '!HO240</f>
        <v>1379.25</v>
      </c>
    </row>
    <row r="30" spans="1:15" x14ac:dyDescent="0.2">
      <c r="A30" s="2444" t="s">
        <v>945</v>
      </c>
      <c r="C30" s="2461">
        <f>'Koncern RR '!HJ148</f>
        <v>741.43282433166542</v>
      </c>
      <c r="D30" s="2461">
        <f>'Koncern RR '!HK148</f>
        <v>818.86774137092982</v>
      </c>
      <c r="E30" s="2461">
        <f>'Koncern RR '!HL148</f>
        <v>708.46972064624697</v>
      </c>
      <c r="F30" s="2461">
        <f>'Koncern RR '!HM148</f>
        <v>783.98979548536499</v>
      </c>
      <c r="G30" s="2461">
        <f>'Koncern RR '!HN148</f>
        <v>787.02448408828059</v>
      </c>
      <c r="H30" s="2461">
        <f>'Koncern RR '!HO148</f>
        <v>705.43503204333126</v>
      </c>
      <c r="I30" s="2521"/>
      <c r="J30" s="2461">
        <f>'Koncern RR '!HJ241</f>
        <v>541.59999999999991</v>
      </c>
      <c r="K30" s="2461">
        <f>'Koncern RR '!HK241</f>
        <v>624</v>
      </c>
      <c r="L30" s="2461">
        <f>'Koncern RR '!HL241</f>
        <v>507.95</v>
      </c>
      <c r="M30" s="2461">
        <f>'Koncern RR '!HM241</f>
        <v>590.1</v>
      </c>
      <c r="N30" s="2461">
        <f>'Koncern RR '!HN241</f>
        <v>587.90000000000009</v>
      </c>
      <c r="O30" s="2461">
        <f>'Koncern RR '!HO241</f>
        <v>510.15</v>
      </c>
    </row>
    <row r="31" spans="1:15" x14ac:dyDescent="0.2">
      <c r="A31" s="2451" t="s">
        <v>928</v>
      </c>
      <c r="C31" s="2467">
        <f>C29-C30</f>
        <v>1695.879429705546</v>
      </c>
      <c r="D31" s="2467">
        <f t="shared" ref="D31:H31" si="15">D29-D30</f>
        <v>1596.0921681966911</v>
      </c>
      <c r="E31" s="2467">
        <f t="shared" si="15"/>
        <v>1704.3269815200001</v>
      </c>
      <c r="F31" s="2467">
        <f t="shared" si="15"/>
        <v>1572.8228039581545</v>
      </c>
      <c r="G31" s="2467">
        <f t="shared" si="15"/>
        <v>1655.3492250781305</v>
      </c>
      <c r="H31" s="2467">
        <f t="shared" si="15"/>
        <v>1621.8005604000241</v>
      </c>
      <c r="I31" s="2521"/>
      <c r="J31" s="2467">
        <f>'Koncern RR '!HJ242</f>
        <v>925.65000000000009</v>
      </c>
      <c r="K31" s="2467">
        <f>'Koncern RR '!HK242</f>
        <v>845</v>
      </c>
      <c r="L31" s="2467">
        <f>'Koncern RR '!HL242</f>
        <v>931.44999999999982</v>
      </c>
      <c r="M31" s="2467">
        <f>'Koncern RR '!HM242</f>
        <v>825.49999999999989</v>
      </c>
      <c r="N31" s="2467">
        <f>'Koncern RR '!HN242</f>
        <v>887.84999999999991</v>
      </c>
      <c r="O31" s="2467">
        <f>'Koncern RR '!HO242</f>
        <v>869.1</v>
      </c>
    </row>
    <row r="32" spans="1:15" s="2449" customFormat="1" x14ac:dyDescent="0.2">
      <c r="A32" s="2449" t="s">
        <v>343</v>
      </c>
      <c r="B32" s="2515"/>
      <c r="C32" s="2463">
        <f>(SUM(C27:C28)/(C29-C30))*100</f>
        <v>15.381987195003205</v>
      </c>
      <c r="D32" s="2463">
        <f t="shared" ref="D32:H32" si="16">(SUM(D27:D28)/(D29-D30))*100</f>
        <v>3.061280109857536</v>
      </c>
      <c r="E32" s="2463">
        <f t="shared" si="16"/>
        <v>10.568452971351757</v>
      </c>
      <c r="F32" s="2463">
        <f t="shared" si="16"/>
        <v>6.1039797756234702</v>
      </c>
      <c r="G32" s="2463">
        <f t="shared" si="16"/>
        <v>5.5906750254244546</v>
      </c>
      <c r="H32" s="2463">
        <f t="shared" si="16"/>
        <v>3.1130270954862165</v>
      </c>
      <c r="I32" s="2521"/>
      <c r="J32" s="2463">
        <f>(SUM(J27:J28)/(J29-J30))*100</f>
        <v>39.082648162912577</v>
      </c>
      <c r="K32" s="2463">
        <f t="shared" ref="K32:O32" si="17">(SUM(K27:K28)/(K29-K30))*100</f>
        <v>17.013118589349045</v>
      </c>
      <c r="L32" s="2463">
        <f t="shared" si="17"/>
        <v>29.972254819904464</v>
      </c>
      <c r="M32" s="2463">
        <f t="shared" si="17"/>
        <v>23.344007978195023</v>
      </c>
      <c r="N32" s="2463">
        <f t="shared" si="17"/>
        <v>21.526494532860308</v>
      </c>
      <c r="O32" s="2463">
        <f t="shared" si="17"/>
        <v>17.016119074905088</v>
      </c>
    </row>
    <row r="33" spans="1:15" x14ac:dyDescent="0.2">
      <c r="C33" s="2461"/>
      <c r="D33" s="2461"/>
      <c r="E33" s="2461"/>
      <c r="F33" s="2461"/>
      <c r="G33" s="2461"/>
      <c r="H33" s="2461"/>
      <c r="I33" s="2521"/>
      <c r="J33" s="2461"/>
      <c r="K33" s="2461"/>
      <c r="L33" s="2461"/>
      <c r="M33" s="2461"/>
      <c r="N33" s="2461"/>
      <c r="O33" s="2461"/>
    </row>
    <row r="34" spans="1:15" s="2449" customFormat="1" x14ac:dyDescent="0.2">
      <c r="A34" s="2449" t="s">
        <v>21</v>
      </c>
      <c r="B34" s="2515"/>
      <c r="C34" s="2463"/>
      <c r="D34" s="2463"/>
      <c r="E34" s="2463"/>
      <c r="F34" s="2463"/>
      <c r="G34" s="2463"/>
      <c r="H34" s="2463"/>
      <c r="I34" s="2522"/>
      <c r="J34" s="2463"/>
      <c r="K34" s="2463"/>
      <c r="L34" s="2463"/>
      <c r="M34" s="2463"/>
      <c r="N34" s="2463"/>
      <c r="O34" s="2463"/>
    </row>
    <row r="35" spans="1:15" x14ac:dyDescent="0.2">
      <c r="A35" s="2444" t="s">
        <v>612</v>
      </c>
      <c r="C35" s="2461">
        <f>'Koncern RR '!HJ96*-1</f>
        <v>14.7</v>
      </c>
      <c r="D35" s="2461">
        <f>'Koncern RR '!HK96*-1</f>
        <v>38.5</v>
      </c>
      <c r="E35" s="2461">
        <f>'Koncern RR '!HL96*-1</f>
        <v>14.7</v>
      </c>
      <c r="F35" s="2461">
        <f>'Koncern RR '!HM96*-1</f>
        <v>38.5</v>
      </c>
      <c r="G35" s="2461">
        <f>'Koncern RR '!HN96*-1</f>
        <v>14.7</v>
      </c>
      <c r="H35" s="2461">
        <f>'Koncern RR '!HO96*-1</f>
        <v>50</v>
      </c>
      <c r="I35" s="2521"/>
      <c r="J35" s="2461">
        <f>C35</f>
        <v>14.7</v>
      </c>
      <c r="K35" s="2461">
        <f t="shared" ref="K35:O37" si="18">D35</f>
        <v>38.5</v>
      </c>
      <c r="L35" s="2461">
        <f t="shared" si="18"/>
        <v>14.7</v>
      </c>
      <c r="M35" s="2461">
        <f t="shared" si="18"/>
        <v>38.5</v>
      </c>
      <c r="N35" s="2461">
        <f t="shared" si="18"/>
        <v>14.7</v>
      </c>
      <c r="O35" s="2461">
        <f t="shared" si="18"/>
        <v>50</v>
      </c>
    </row>
    <row r="36" spans="1:15" x14ac:dyDescent="0.2">
      <c r="A36" s="2451" t="s">
        <v>929</v>
      </c>
      <c r="C36" s="2467">
        <f>C37-C35</f>
        <v>181.8</v>
      </c>
      <c r="D36" s="2467">
        <f t="shared" ref="D36:H36" si="19">D37-D35</f>
        <v>164.5</v>
      </c>
      <c r="E36" s="2467">
        <f t="shared" si="19"/>
        <v>181.8</v>
      </c>
      <c r="F36" s="2467">
        <f t="shared" si="19"/>
        <v>164.5</v>
      </c>
      <c r="G36" s="2467">
        <f t="shared" si="19"/>
        <v>181.8</v>
      </c>
      <c r="H36" s="2467">
        <f t="shared" si="19"/>
        <v>84</v>
      </c>
      <c r="I36" s="2521"/>
      <c r="J36" s="2467">
        <f t="shared" ref="J36:J37" si="20">C36</f>
        <v>181.8</v>
      </c>
      <c r="K36" s="2467">
        <f t="shared" si="18"/>
        <v>164.5</v>
      </c>
      <c r="L36" s="2467">
        <f t="shared" si="18"/>
        <v>181.8</v>
      </c>
      <c r="M36" s="2467">
        <f t="shared" si="18"/>
        <v>164.5</v>
      </c>
      <c r="N36" s="2467">
        <f t="shared" si="18"/>
        <v>181.8</v>
      </c>
      <c r="O36" s="2467">
        <f t="shared" si="18"/>
        <v>84</v>
      </c>
    </row>
    <row r="37" spans="1:15" s="2449" customFormat="1" x14ac:dyDescent="0.2">
      <c r="A37" s="2449" t="s">
        <v>21</v>
      </c>
      <c r="B37" s="2515"/>
      <c r="C37" s="2463">
        <f>'Koncern RR '!HJ17</f>
        <v>196.5</v>
      </c>
      <c r="D37" s="2463">
        <f>'Koncern RR '!HK17</f>
        <v>203</v>
      </c>
      <c r="E37" s="2463">
        <f>'Koncern RR '!HL17</f>
        <v>196.5</v>
      </c>
      <c r="F37" s="2463">
        <f>'Koncern RR '!HM17</f>
        <v>203</v>
      </c>
      <c r="G37" s="2463">
        <f>'Koncern RR '!HN17</f>
        <v>196.5</v>
      </c>
      <c r="H37" s="2463">
        <f>'Koncern RR '!HO17</f>
        <v>134</v>
      </c>
      <c r="I37" s="2522"/>
      <c r="J37" s="2463">
        <f t="shared" si="20"/>
        <v>196.5</v>
      </c>
      <c r="K37" s="2463">
        <f t="shared" si="18"/>
        <v>203</v>
      </c>
      <c r="L37" s="2463">
        <f t="shared" si="18"/>
        <v>196.5</v>
      </c>
      <c r="M37" s="2463">
        <f t="shared" si="18"/>
        <v>203</v>
      </c>
      <c r="N37" s="2463">
        <f t="shared" si="18"/>
        <v>196.5</v>
      </c>
      <c r="O37" s="2463">
        <f t="shared" si="18"/>
        <v>134</v>
      </c>
    </row>
    <row r="38" spans="1:15" x14ac:dyDescent="0.2">
      <c r="C38" s="2461"/>
      <c r="D38" s="2461"/>
      <c r="E38" s="2461"/>
      <c r="F38" s="2461"/>
      <c r="G38" s="2461"/>
      <c r="H38" s="2461"/>
      <c r="I38" s="2521"/>
      <c r="J38" s="2461"/>
      <c r="K38" s="2461"/>
      <c r="L38" s="2461"/>
      <c r="M38" s="2461"/>
      <c r="N38" s="2461"/>
      <c r="O38" s="2461"/>
    </row>
    <row r="39" spans="1:15" s="2449" customFormat="1" x14ac:dyDescent="0.2">
      <c r="A39" s="2449" t="s">
        <v>259</v>
      </c>
      <c r="B39" s="2515"/>
      <c r="C39" s="2463"/>
      <c r="D39" s="2463"/>
      <c r="E39" s="2463"/>
      <c r="F39" s="2463"/>
      <c r="G39" s="2463"/>
      <c r="H39" s="2463"/>
      <c r="I39" s="2522"/>
      <c r="J39" s="2463"/>
      <c r="K39" s="2463"/>
      <c r="L39" s="2463"/>
      <c r="M39" s="2463"/>
      <c r="N39" s="2463"/>
      <c r="O39" s="2463"/>
    </row>
    <row r="40" spans="1:15" x14ac:dyDescent="0.2">
      <c r="A40" s="2444" t="s">
        <v>424</v>
      </c>
      <c r="C40" s="2461">
        <f>SUM('Koncern RR '!HJ94:HJ95)</f>
        <v>118.8</v>
      </c>
      <c r="D40" s="2461">
        <f>SUM('Koncern RR '!HK94:HK95)</f>
        <v>154.5</v>
      </c>
      <c r="E40" s="2461">
        <f>SUM('Koncern RR '!HL94:HL95)</f>
        <v>118.8</v>
      </c>
      <c r="F40" s="2461">
        <f>SUM('Koncern RR '!HM94:HM95)</f>
        <v>154.5</v>
      </c>
      <c r="G40" s="2461">
        <f>SUM('Koncern RR '!HN94:HN95)</f>
        <v>118.8</v>
      </c>
      <c r="H40" s="2461">
        <f>SUM('Koncern RR '!HO94:HO95)</f>
        <v>223.8</v>
      </c>
      <c r="I40" s="2521"/>
      <c r="J40" s="2461">
        <f>C40</f>
        <v>118.8</v>
      </c>
      <c r="K40" s="2461">
        <f t="shared" ref="K40:O42" si="21">D40</f>
        <v>154.5</v>
      </c>
      <c r="L40" s="2461">
        <f t="shared" si="21"/>
        <v>118.8</v>
      </c>
      <c r="M40" s="2461">
        <f t="shared" si="21"/>
        <v>154.5</v>
      </c>
      <c r="N40" s="2461">
        <f t="shared" si="21"/>
        <v>118.8</v>
      </c>
      <c r="O40" s="2461">
        <f t="shared" si="21"/>
        <v>223.8</v>
      </c>
    </row>
    <row r="41" spans="1:15" x14ac:dyDescent="0.2">
      <c r="A41" s="2451" t="s">
        <v>612</v>
      </c>
      <c r="C41" s="2467">
        <f>C35</f>
        <v>14.7</v>
      </c>
      <c r="D41" s="2467">
        <f t="shared" ref="D41:H41" si="22">D35</f>
        <v>38.5</v>
      </c>
      <c r="E41" s="2467">
        <f t="shared" si="22"/>
        <v>14.7</v>
      </c>
      <c r="F41" s="2467">
        <f t="shared" si="22"/>
        <v>38.5</v>
      </c>
      <c r="G41" s="2467">
        <f t="shared" si="22"/>
        <v>14.7</v>
      </c>
      <c r="H41" s="2467">
        <f t="shared" si="22"/>
        <v>50</v>
      </c>
      <c r="I41" s="2521"/>
      <c r="J41" s="2467">
        <f t="shared" ref="J41:J42" si="23">C41</f>
        <v>14.7</v>
      </c>
      <c r="K41" s="2467">
        <f t="shared" si="21"/>
        <v>38.5</v>
      </c>
      <c r="L41" s="2467">
        <f t="shared" si="21"/>
        <v>14.7</v>
      </c>
      <c r="M41" s="2467">
        <f t="shared" si="21"/>
        <v>38.5</v>
      </c>
      <c r="N41" s="2467">
        <f t="shared" si="21"/>
        <v>14.7</v>
      </c>
      <c r="O41" s="2467">
        <f t="shared" si="21"/>
        <v>50</v>
      </c>
    </row>
    <row r="42" spans="1:15" s="2449" customFormat="1" x14ac:dyDescent="0.2">
      <c r="A42" s="2449" t="s">
        <v>259</v>
      </c>
      <c r="B42" s="2515"/>
      <c r="C42" s="2463">
        <f>C40-C41</f>
        <v>104.1</v>
      </c>
      <c r="D42" s="2463">
        <f t="shared" ref="D42:H42" si="24">D40-D41</f>
        <v>116</v>
      </c>
      <c r="E42" s="2463">
        <f t="shared" si="24"/>
        <v>104.1</v>
      </c>
      <c r="F42" s="2463">
        <f t="shared" si="24"/>
        <v>116</v>
      </c>
      <c r="G42" s="2463">
        <f t="shared" si="24"/>
        <v>104.1</v>
      </c>
      <c r="H42" s="2463">
        <f t="shared" si="24"/>
        <v>173.8</v>
      </c>
      <c r="I42" s="2522"/>
      <c r="J42" s="2463">
        <f t="shared" si="23"/>
        <v>104.1</v>
      </c>
      <c r="K42" s="2463">
        <f t="shared" si="21"/>
        <v>116</v>
      </c>
      <c r="L42" s="2463">
        <f t="shared" si="21"/>
        <v>104.1</v>
      </c>
      <c r="M42" s="2463">
        <f t="shared" si="21"/>
        <v>116</v>
      </c>
      <c r="N42" s="2463">
        <f t="shared" si="21"/>
        <v>104.1</v>
      </c>
      <c r="O42" s="2463">
        <f t="shared" si="21"/>
        <v>173.8</v>
      </c>
    </row>
    <row r="43" spans="1:15" x14ac:dyDescent="0.2">
      <c r="C43" s="2461"/>
      <c r="D43" s="2461"/>
      <c r="E43" s="2461"/>
      <c r="F43" s="2461"/>
      <c r="G43" s="2461"/>
      <c r="H43" s="2461"/>
      <c r="I43" s="2521"/>
      <c r="J43" s="2461"/>
      <c r="K43" s="2461"/>
      <c r="L43" s="2461"/>
      <c r="M43" s="2461"/>
      <c r="N43" s="2461"/>
      <c r="O43" s="2461"/>
    </row>
    <row r="44" spans="1:15" s="2449" customFormat="1" x14ac:dyDescent="0.2">
      <c r="A44" s="2449" t="s">
        <v>265</v>
      </c>
      <c r="B44" s="2515"/>
      <c r="C44" s="2463"/>
      <c r="D44" s="2463"/>
      <c r="E44" s="2463"/>
      <c r="F44" s="2463"/>
      <c r="G44" s="2463"/>
      <c r="H44" s="2463"/>
      <c r="I44" s="2522"/>
      <c r="J44" s="2463"/>
      <c r="K44" s="2463"/>
      <c r="L44" s="2463"/>
      <c r="M44" s="2463"/>
      <c r="N44" s="2463"/>
      <c r="O44" s="2463"/>
    </row>
    <row r="45" spans="1:15" x14ac:dyDescent="0.2">
      <c r="A45" s="2444" t="s">
        <v>424</v>
      </c>
      <c r="C45" s="2461">
        <f>C40</f>
        <v>118.8</v>
      </c>
      <c r="D45" s="2461">
        <f t="shared" ref="D45:H45" si="25">D40</f>
        <v>154.5</v>
      </c>
      <c r="E45" s="2461">
        <f t="shared" si="25"/>
        <v>118.8</v>
      </c>
      <c r="F45" s="2461">
        <f t="shared" si="25"/>
        <v>154.5</v>
      </c>
      <c r="G45" s="2461">
        <f t="shared" si="25"/>
        <v>118.8</v>
      </c>
      <c r="H45" s="2461">
        <f t="shared" si="25"/>
        <v>223.8</v>
      </c>
      <c r="I45" s="2521"/>
      <c r="J45" s="2461">
        <f t="shared" ref="J45:O45" si="26">J40</f>
        <v>118.8</v>
      </c>
      <c r="K45" s="2461">
        <f t="shared" si="26"/>
        <v>154.5</v>
      </c>
      <c r="L45" s="2461">
        <f t="shared" si="26"/>
        <v>118.8</v>
      </c>
      <c r="M45" s="2461">
        <f t="shared" si="26"/>
        <v>154.5</v>
      </c>
      <c r="N45" s="2461">
        <f t="shared" si="26"/>
        <v>118.8</v>
      </c>
      <c r="O45" s="2461">
        <f t="shared" si="26"/>
        <v>223.8</v>
      </c>
    </row>
    <row r="46" spans="1:15" x14ac:dyDescent="0.2">
      <c r="A46" s="2444" t="s">
        <v>612</v>
      </c>
      <c r="C46" s="2461">
        <f>C41</f>
        <v>14.7</v>
      </c>
      <c r="D46" s="2461">
        <f t="shared" ref="D46:H46" si="27">D41</f>
        <v>38.5</v>
      </c>
      <c r="E46" s="2461">
        <f t="shared" si="27"/>
        <v>14.7</v>
      </c>
      <c r="F46" s="2461">
        <f t="shared" si="27"/>
        <v>38.5</v>
      </c>
      <c r="G46" s="2461">
        <f t="shared" si="27"/>
        <v>14.7</v>
      </c>
      <c r="H46" s="2461">
        <f t="shared" si="27"/>
        <v>50</v>
      </c>
      <c r="I46" s="2521"/>
      <c r="J46" s="2461">
        <f t="shared" ref="J46:O46" si="28">J41</f>
        <v>14.7</v>
      </c>
      <c r="K46" s="2461">
        <f t="shared" si="28"/>
        <v>38.5</v>
      </c>
      <c r="L46" s="2461">
        <f t="shared" si="28"/>
        <v>14.7</v>
      </c>
      <c r="M46" s="2461">
        <f t="shared" si="28"/>
        <v>38.5</v>
      </c>
      <c r="N46" s="2461">
        <f t="shared" si="28"/>
        <v>14.7</v>
      </c>
      <c r="O46" s="2461">
        <f t="shared" si="28"/>
        <v>50</v>
      </c>
    </row>
    <row r="47" spans="1:15" x14ac:dyDescent="0.2">
      <c r="A47" s="2451" t="s">
        <v>930</v>
      </c>
      <c r="C47" s="2467">
        <f>'Koncern RR '!HJ108</f>
        <v>281.20000000000027</v>
      </c>
      <c r="D47" s="2467">
        <f>'Koncern RR '!HK108</f>
        <v>249.89999999999995</v>
      </c>
      <c r="E47" s="2467">
        <f>'Koncern RR '!HL108</f>
        <v>281.20000000000027</v>
      </c>
      <c r="F47" s="2467">
        <f>'Koncern RR '!HM108</f>
        <v>249.89999999999995</v>
      </c>
      <c r="G47" s="2467">
        <f>'Koncern RR '!HN108</f>
        <v>281.20000000000027</v>
      </c>
      <c r="H47" s="2467">
        <f>'Koncern RR '!HO108</f>
        <v>237.30000000000013</v>
      </c>
      <c r="I47" s="2521"/>
      <c r="J47" s="2467">
        <f>C47</f>
        <v>281.20000000000027</v>
      </c>
      <c r="K47" s="2467">
        <f t="shared" ref="K47:O47" si="29">D47</f>
        <v>249.89999999999995</v>
      </c>
      <c r="L47" s="2467">
        <f t="shared" si="29"/>
        <v>281.20000000000027</v>
      </c>
      <c r="M47" s="2467">
        <f t="shared" si="29"/>
        <v>249.89999999999995</v>
      </c>
      <c r="N47" s="2467">
        <f t="shared" si="29"/>
        <v>281.20000000000027</v>
      </c>
      <c r="O47" s="2467">
        <f t="shared" si="29"/>
        <v>237.30000000000013</v>
      </c>
    </row>
    <row r="48" spans="1:15" s="2449" customFormat="1" x14ac:dyDescent="0.2">
      <c r="A48" s="2449" t="s">
        <v>265</v>
      </c>
      <c r="B48" s="2515"/>
      <c r="C48" s="2463">
        <f>(C45-C46)/C47</f>
        <v>0.37019914651493563</v>
      </c>
      <c r="D48" s="2463">
        <f t="shared" ref="D48:H48" si="30">(D45-D46)/D47</f>
        <v>0.46418567426970797</v>
      </c>
      <c r="E48" s="2463">
        <f t="shared" si="30"/>
        <v>0.37019914651493563</v>
      </c>
      <c r="F48" s="2463">
        <f t="shared" si="30"/>
        <v>0.46418567426970797</v>
      </c>
      <c r="G48" s="2463">
        <f t="shared" si="30"/>
        <v>0.37019914651493563</v>
      </c>
      <c r="H48" s="2463">
        <f t="shared" si="30"/>
        <v>0.73240623683101524</v>
      </c>
      <c r="I48" s="2522"/>
      <c r="J48" s="2463">
        <f>(J45-J46)/J47</f>
        <v>0.37019914651493563</v>
      </c>
      <c r="K48" s="2463">
        <f t="shared" ref="K48:O48" si="31">(K45-K46)/K47</f>
        <v>0.46418567426970797</v>
      </c>
      <c r="L48" s="2463">
        <f t="shared" si="31"/>
        <v>0.37019914651493563</v>
      </c>
      <c r="M48" s="2463">
        <f t="shared" si="31"/>
        <v>0.46418567426970797</v>
      </c>
      <c r="N48" s="2463">
        <f t="shared" si="31"/>
        <v>0.37019914651493563</v>
      </c>
      <c r="O48" s="2463">
        <f t="shared" si="31"/>
        <v>0.73240623683101524</v>
      </c>
    </row>
    <row r="49" spans="1:15" x14ac:dyDescent="0.2">
      <c r="C49" s="2461"/>
      <c r="D49" s="2461"/>
      <c r="E49" s="2461"/>
      <c r="F49" s="2461"/>
      <c r="G49" s="2461"/>
      <c r="H49" s="2461"/>
      <c r="I49" s="2521"/>
      <c r="J49" s="2461"/>
      <c r="K49" s="2461"/>
      <c r="L49" s="2461"/>
      <c r="M49" s="2461"/>
      <c r="N49" s="2461"/>
      <c r="O49" s="2461"/>
    </row>
    <row r="50" spans="1:15" s="2449" customFormat="1" x14ac:dyDescent="0.2">
      <c r="A50" s="2449" t="s">
        <v>362</v>
      </c>
      <c r="B50" s="2515"/>
      <c r="C50" s="2463"/>
      <c r="D50" s="2463"/>
      <c r="E50" s="2463"/>
      <c r="F50" s="2463"/>
      <c r="G50" s="2463"/>
      <c r="H50" s="2463"/>
      <c r="I50" s="2522"/>
      <c r="J50" s="2463"/>
      <c r="K50" s="2463"/>
      <c r="L50" s="2463"/>
      <c r="M50" s="2463"/>
      <c r="N50" s="2463"/>
      <c r="O50" s="2463"/>
    </row>
    <row r="51" spans="1:15" x14ac:dyDescent="0.2">
      <c r="A51" s="2444" t="s">
        <v>424</v>
      </c>
      <c r="C51" s="2461">
        <f>C45</f>
        <v>118.8</v>
      </c>
      <c r="D51" s="2461">
        <f t="shared" ref="D51:H51" si="32">D45</f>
        <v>154.5</v>
      </c>
      <c r="E51" s="2461">
        <f t="shared" si="32"/>
        <v>118.8</v>
      </c>
      <c r="F51" s="2461">
        <f t="shared" si="32"/>
        <v>154.5</v>
      </c>
      <c r="G51" s="2461">
        <f t="shared" si="32"/>
        <v>118.8</v>
      </c>
      <c r="H51" s="2461">
        <f t="shared" si="32"/>
        <v>223.8</v>
      </c>
      <c r="I51" s="2521"/>
      <c r="J51" s="2461">
        <f>J45</f>
        <v>118.8</v>
      </c>
      <c r="K51" s="2461">
        <f t="shared" ref="K51:O51" si="33">K45</f>
        <v>154.5</v>
      </c>
      <c r="L51" s="2461">
        <f t="shared" si="33"/>
        <v>118.8</v>
      </c>
      <c r="M51" s="2461">
        <f t="shared" si="33"/>
        <v>154.5</v>
      </c>
      <c r="N51" s="2461">
        <f t="shared" si="33"/>
        <v>118.8</v>
      </c>
      <c r="O51" s="2461">
        <f t="shared" si="33"/>
        <v>223.8</v>
      </c>
    </row>
    <row r="52" spans="1:15" x14ac:dyDescent="0.2">
      <c r="A52" s="2444" t="s">
        <v>612</v>
      </c>
      <c r="C52" s="2461">
        <f>C46</f>
        <v>14.7</v>
      </c>
      <c r="D52" s="2461">
        <f t="shared" ref="D52:H52" si="34">D46</f>
        <v>38.5</v>
      </c>
      <c r="E52" s="2461">
        <f t="shared" si="34"/>
        <v>14.7</v>
      </c>
      <c r="F52" s="2461">
        <f t="shared" si="34"/>
        <v>38.5</v>
      </c>
      <c r="G52" s="2461">
        <f t="shared" si="34"/>
        <v>14.7</v>
      </c>
      <c r="H52" s="2461">
        <f t="shared" si="34"/>
        <v>50</v>
      </c>
      <c r="I52" s="2521"/>
      <c r="J52" s="2461">
        <f>J46</f>
        <v>14.7</v>
      </c>
      <c r="K52" s="2461">
        <f t="shared" ref="K52:O52" si="35">K46</f>
        <v>38.5</v>
      </c>
      <c r="L52" s="2461">
        <f t="shared" si="35"/>
        <v>14.7</v>
      </c>
      <c r="M52" s="2461">
        <f t="shared" si="35"/>
        <v>38.5</v>
      </c>
      <c r="N52" s="2461">
        <f t="shared" si="35"/>
        <v>14.7</v>
      </c>
      <c r="O52" s="2461">
        <f t="shared" si="35"/>
        <v>50</v>
      </c>
    </row>
    <row r="53" spans="1:15" x14ac:dyDescent="0.2">
      <c r="A53" s="2451" t="s">
        <v>429</v>
      </c>
      <c r="C53" s="2467">
        <f>'Koncern RR '!HJ118</f>
        <v>1588.2314030819521</v>
      </c>
      <c r="D53" s="2467">
        <f>'Koncern RR '!HK118</f>
        <v>1449.1670470743088</v>
      </c>
      <c r="E53" s="2467">
        <f>'Koncern RR '!HL118</f>
        <v>1588.2314030819521</v>
      </c>
      <c r="F53" s="2467">
        <f>'Koncern RR '!HM118</f>
        <v>1449.1670470743088</v>
      </c>
      <c r="G53" s="2467">
        <f>'Koncern RR '!HN118</f>
        <v>1588.2314030819521</v>
      </c>
      <c r="H53" s="2467">
        <f>'Koncern RR '!HO118</f>
        <v>1477.8225599580487</v>
      </c>
      <c r="I53" s="2521"/>
      <c r="J53" s="2467">
        <f>'Koncern RR '!HJ211</f>
        <v>805.5</v>
      </c>
      <c r="K53" s="2467">
        <f>'Koncern RR '!HK211</f>
        <v>696.9</v>
      </c>
      <c r="L53" s="2467">
        <f>'Koncern RR '!HL211</f>
        <v>805.5</v>
      </c>
      <c r="M53" s="2467">
        <f>'Koncern RR '!HM211</f>
        <v>696.9</v>
      </c>
      <c r="N53" s="2467">
        <f>'Koncern RR '!HN211</f>
        <v>805.5</v>
      </c>
      <c r="O53" s="2467">
        <f>'Koncern RR '!HO211</f>
        <v>714.8</v>
      </c>
    </row>
    <row r="54" spans="1:15" s="2449" customFormat="1" x14ac:dyDescent="0.2">
      <c r="A54" s="2449" t="s">
        <v>362</v>
      </c>
      <c r="B54" s="2515"/>
      <c r="C54" s="2463">
        <f>(C51-C52)/C53</f>
        <v>6.5544605022917105E-2</v>
      </c>
      <c r="D54" s="2463">
        <f t="shared" ref="D54:H54" si="36">(D51-D52)/D53</f>
        <v>8.0045982438111479E-2</v>
      </c>
      <c r="E54" s="2463">
        <f t="shared" si="36"/>
        <v>6.5544605022917105E-2</v>
      </c>
      <c r="F54" s="2463">
        <f t="shared" si="36"/>
        <v>8.0045982438111479E-2</v>
      </c>
      <c r="G54" s="2463">
        <f t="shared" si="36"/>
        <v>6.5544605022917105E-2</v>
      </c>
      <c r="H54" s="2463">
        <f t="shared" si="36"/>
        <v>0.11760545867220602</v>
      </c>
      <c r="I54" s="2522"/>
      <c r="J54" s="2463">
        <f>(J51-J52)/J53</f>
        <v>0.12923649906890131</v>
      </c>
      <c r="K54" s="2463">
        <f t="shared" ref="K54:O54" si="37">(K51-K52)/K53</f>
        <v>0.16645142775147082</v>
      </c>
      <c r="L54" s="2463">
        <f t="shared" si="37"/>
        <v>0.12923649906890131</v>
      </c>
      <c r="M54" s="2463">
        <f t="shared" si="37"/>
        <v>0.16645142775147082</v>
      </c>
      <c r="N54" s="2463">
        <f t="shared" si="37"/>
        <v>0.12923649906890131</v>
      </c>
      <c r="O54" s="2463">
        <f t="shared" si="37"/>
        <v>0.24314493564633466</v>
      </c>
    </row>
    <row r="55" spans="1:15" x14ac:dyDescent="0.2">
      <c r="C55" s="2461"/>
      <c r="D55" s="2461"/>
      <c r="E55" s="2461"/>
      <c r="F55" s="2461"/>
      <c r="G55" s="2461"/>
      <c r="H55" s="2461"/>
      <c r="I55" s="2521"/>
      <c r="J55" s="2461"/>
      <c r="K55" s="2461"/>
      <c r="L55" s="2461"/>
      <c r="M55" s="2461"/>
      <c r="N55" s="2461"/>
      <c r="O55" s="2461"/>
    </row>
    <row r="56" spans="1:15" s="2449" customFormat="1" x14ac:dyDescent="0.2">
      <c r="A56" s="2449" t="s">
        <v>357</v>
      </c>
      <c r="B56" s="2515"/>
      <c r="C56" s="2463"/>
      <c r="D56" s="2463"/>
      <c r="E56" s="2463"/>
      <c r="F56" s="2463"/>
      <c r="G56" s="2463"/>
      <c r="H56" s="2463"/>
      <c r="I56" s="2522"/>
      <c r="J56" s="2463"/>
      <c r="K56" s="2463"/>
      <c r="L56" s="2463"/>
      <c r="M56" s="2463"/>
      <c r="N56" s="2463"/>
      <c r="O56" s="2463"/>
    </row>
    <row r="57" spans="1:15" x14ac:dyDescent="0.2">
      <c r="A57" s="2444" t="s">
        <v>429</v>
      </c>
      <c r="C57" s="2461">
        <f>'Koncern RR '!HJ118</f>
        <v>1588.2314030819521</v>
      </c>
      <c r="D57" s="2461">
        <f>'Koncern RR '!HK118</f>
        <v>1449.1670470743088</v>
      </c>
      <c r="E57" s="2461">
        <f>'Koncern RR '!HL118</f>
        <v>1588.2314030819521</v>
      </c>
      <c r="F57" s="2461">
        <f>'Koncern RR '!HM118</f>
        <v>1449.1670470743088</v>
      </c>
      <c r="G57" s="2461">
        <f>'Koncern RR '!HN118</f>
        <v>1588.2314030819521</v>
      </c>
      <c r="H57" s="2461">
        <f>'Koncern RR '!HO118</f>
        <v>1477.8225599580487</v>
      </c>
      <c r="I57" s="2521"/>
      <c r="J57" s="2461">
        <f>'Koncern RR '!HJ211</f>
        <v>805.5</v>
      </c>
      <c r="K57" s="2461">
        <f>'Koncern RR '!HK211</f>
        <v>696.9</v>
      </c>
      <c r="L57" s="2461">
        <f>'Koncern RR '!HL211</f>
        <v>805.5</v>
      </c>
      <c r="M57" s="2461">
        <f>'Koncern RR '!HM211</f>
        <v>696.9</v>
      </c>
      <c r="N57" s="2461">
        <f>'Koncern RR '!HN211</f>
        <v>805.5</v>
      </c>
      <c r="O57" s="2461">
        <f>'Koncern RR '!HO211</f>
        <v>714.8</v>
      </c>
    </row>
    <row r="58" spans="1:15" x14ac:dyDescent="0.2">
      <c r="A58" s="2451" t="s">
        <v>36</v>
      </c>
      <c r="C58" s="2467">
        <f>'Koncern RR '!HJ40</f>
        <v>2464.0078124457832</v>
      </c>
      <c r="D58" s="2467">
        <f>'Koncern RR '!HK40</f>
        <v>2420.739605887039</v>
      </c>
      <c r="E58" s="2467">
        <f>'Koncern RR '!HL40</f>
        <v>2464.0078124457832</v>
      </c>
      <c r="F58" s="2467">
        <f>'Koncern RR '!HM40</f>
        <v>2420.739605887039</v>
      </c>
      <c r="G58" s="2467">
        <f>'Koncern RR '!HN40</f>
        <v>2464.0078124457832</v>
      </c>
      <c r="H58" s="2467">
        <f>'Koncern RR '!HO40</f>
        <v>2361.585591886711</v>
      </c>
      <c r="I58" s="2521"/>
      <c r="J58" s="2467">
        <f>'Koncern RR '!HJ66</f>
        <v>1478.1999999999998</v>
      </c>
      <c r="K58" s="2467">
        <f>'Koncern RR '!HK66</f>
        <v>1473.3</v>
      </c>
      <c r="L58" s="2467">
        <f>'Koncern RR '!HL66</f>
        <v>1478.1999999999998</v>
      </c>
      <c r="M58" s="2467">
        <f>'Koncern RR '!HM66</f>
        <v>1473.3</v>
      </c>
      <c r="N58" s="2467">
        <f>'Koncern RR '!HN66</f>
        <v>1478.1999999999998</v>
      </c>
      <c r="O58" s="2467">
        <f>'Koncern RR '!HO66</f>
        <v>1400.6</v>
      </c>
    </row>
    <row r="59" spans="1:15" s="2449" customFormat="1" x14ac:dyDescent="0.2">
      <c r="A59" s="2449" t="s">
        <v>357</v>
      </c>
      <c r="B59" s="2515"/>
      <c r="C59" s="2463">
        <f>(C57/C58)*100</f>
        <v>64.45723893648973</v>
      </c>
      <c r="D59" s="2463">
        <f t="shared" ref="D59:H59" si="38">(D57/D58)*100</f>
        <v>59.864639862546717</v>
      </c>
      <c r="E59" s="2463">
        <f t="shared" si="38"/>
        <v>64.45723893648973</v>
      </c>
      <c r="F59" s="2463">
        <f t="shared" si="38"/>
        <v>59.864639862546717</v>
      </c>
      <c r="G59" s="2463">
        <f t="shared" si="38"/>
        <v>64.45723893648973</v>
      </c>
      <c r="H59" s="2463">
        <f t="shared" si="38"/>
        <v>62.577556580424044</v>
      </c>
      <c r="I59" s="2522"/>
      <c r="J59" s="2463">
        <f>(J57/J58)*100</f>
        <v>54.491949668515772</v>
      </c>
      <c r="K59" s="2463">
        <f t="shared" ref="K59:O59" si="39">(K57/K58)*100</f>
        <v>47.301975157809004</v>
      </c>
      <c r="L59" s="2463">
        <f t="shared" si="39"/>
        <v>54.491949668515772</v>
      </c>
      <c r="M59" s="2463">
        <f t="shared" si="39"/>
        <v>47.301975157809004</v>
      </c>
      <c r="N59" s="2463">
        <f t="shared" si="39"/>
        <v>54.491949668515772</v>
      </c>
      <c r="O59" s="2463">
        <f t="shared" si="39"/>
        <v>51.035270598315009</v>
      </c>
    </row>
    <row r="60" spans="1:15" x14ac:dyDescent="0.2">
      <c r="C60" s="2461"/>
      <c r="D60" s="2461"/>
      <c r="E60" s="2461"/>
      <c r="F60" s="2461"/>
      <c r="G60" s="2461"/>
      <c r="H60" s="2461"/>
      <c r="I60" s="2521"/>
      <c r="J60" s="2461"/>
      <c r="K60" s="2461"/>
      <c r="L60" s="2461"/>
      <c r="M60" s="2461"/>
      <c r="N60" s="2461"/>
      <c r="O60" s="2461"/>
    </row>
    <row r="61" spans="1:15" s="2449" customFormat="1" x14ac:dyDescent="0.2">
      <c r="A61" s="2449" t="s">
        <v>414</v>
      </c>
      <c r="B61" s="2515"/>
      <c r="C61" s="2463"/>
      <c r="D61" s="2463"/>
      <c r="E61" s="2463"/>
      <c r="F61" s="2463"/>
      <c r="G61" s="2463"/>
      <c r="H61" s="2463"/>
      <c r="I61" s="2522"/>
      <c r="J61" s="2463"/>
      <c r="K61" s="2463"/>
      <c r="L61" s="2463"/>
      <c r="M61" s="2463"/>
      <c r="N61" s="2463"/>
      <c r="O61" s="2463"/>
    </row>
    <row r="62" spans="1:15" x14ac:dyDescent="0.2">
      <c r="A62" s="2444" t="s">
        <v>931</v>
      </c>
      <c r="C62" s="2461">
        <f>'Koncern RR '!HJ187</f>
        <v>2588.6</v>
      </c>
      <c r="D62" s="2461">
        <f>'Koncern RR '!HK187</f>
        <v>2623.2</v>
      </c>
      <c r="E62" s="2461">
        <f>'Koncern RR '!HL187</f>
        <v>2588.6</v>
      </c>
      <c r="F62" s="2461">
        <f>'Koncern RR '!HM187</f>
        <v>2623.2</v>
      </c>
      <c r="G62" s="2461">
        <f>'Koncern RR '!HN187</f>
        <v>2312.5</v>
      </c>
      <c r="H62" s="2461">
        <f>'Koncern RR '!HO187</f>
        <v>2329.8000000000002</v>
      </c>
      <c r="I62" s="2521"/>
      <c r="J62" s="2461">
        <f>'Koncern RR '!HJ280</f>
        <v>2588.6</v>
      </c>
      <c r="K62" s="2461">
        <f>'Koncern RR '!HK280</f>
        <v>2623.2</v>
      </c>
      <c r="L62" s="2461">
        <f>'Koncern RR '!HL280</f>
        <v>2588.6</v>
      </c>
      <c r="M62" s="2461">
        <f>'Koncern RR '!HM280</f>
        <v>2623.2</v>
      </c>
      <c r="N62" s="2461">
        <f>'Koncern RR '!HN280</f>
        <v>2312.5</v>
      </c>
      <c r="O62" s="2461">
        <f>'Koncern RR '!HO280</f>
        <v>2329.8000000000002</v>
      </c>
    </row>
    <row r="63" spans="1:15" x14ac:dyDescent="0.2">
      <c r="A63" s="2451" t="s">
        <v>928</v>
      </c>
      <c r="C63" s="2467">
        <f>C31</f>
        <v>1695.879429705546</v>
      </c>
      <c r="D63" s="2467">
        <f t="shared" ref="D63:H63" si="40">D31</f>
        <v>1596.0921681966911</v>
      </c>
      <c r="E63" s="2467">
        <f t="shared" si="40"/>
        <v>1704.3269815200001</v>
      </c>
      <c r="F63" s="2467">
        <f t="shared" si="40"/>
        <v>1572.8228039581545</v>
      </c>
      <c r="G63" s="2467">
        <f t="shared" si="40"/>
        <v>1655.3492250781305</v>
      </c>
      <c r="H63" s="2467">
        <f t="shared" si="40"/>
        <v>1621.8005604000241</v>
      </c>
      <c r="I63" s="2521"/>
      <c r="J63" s="2467">
        <f>'Koncern RR '!HJ281</f>
        <v>925.64999999999986</v>
      </c>
      <c r="K63" s="2467">
        <f>'Koncern RR '!HK281</f>
        <v>844.99999999999989</v>
      </c>
      <c r="L63" s="2467">
        <f>'Koncern RR '!HL281</f>
        <v>931.44999999999982</v>
      </c>
      <c r="M63" s="2467">
        <f>'Koncern RR '!HM281</f>
        <v>825.49999999999989</v>
      </c>
      <c r="N63" s="2467">
        <f>'Koncern RR '!HN281</f>
        <v>887.84999999999991</v>
      </c>
      <c r="O63" s="2467">
        <f>'Koncern RR '!HO281</f>
        <v>869.09999999999991</v>
      </c>
    </row>
    <row r="64" spans="1:15" s="2449" customFormat="1" x14ac:dyDescent="0.2">
      <c r="A64" s="2449" t="s">
        <v>414</v>
      </c>
      <c r="B64" s="2515"/>
      <c r="C64" s="2463">
        <f>C62/C63</f>
        <v>1.5264056834803734</v>
      </c>
      <c r="D64" s="2463">
        <f t="shared" ref="D64:H64" si="41">D62/D63</f>
        <v>1.6435141104437367</v>
      </c>
      <c r="E64" s="2463">
        <f t="shared" si="41"/>
        <v>1.5188400043349446</v>
      </c>
      <c r="F64" s="2463">
        <f t="shared" si="41"/>
        <v>1.6678293278800851</v>
      </c>
      <c r="G64" s="2463">
        <f t="shared" si="41"/>
        <v>1.3969861857342234</v>
      </c>
      <c r="H64" s="2463">
        <f t="shared" si="41"/>
        <v>1.436551482893399</v>
      </c>
      <c r="I64" s="2522"/>
      <c r="J64" s="2463">
        <f>J62/J63</f>
        <v>2.7965213633662835</v>
      </c>
      <c r="K64" s="2463">
        <f t="shared" ref="K64:O64" si="42">K62/K63</f>
        <v>3.1043786982248522</v>
      </c>
      <c r="L64" s="2463">
        <f t="shared" si="42"/>
        <v>2.7791078426109834</v>
      </c>
      <c r="M64" s="2463">
        <f t="shared" si="42"/>
        <v>3.1777104784978802</v>
      </c>
      <c r="N64" s="2463">
        <f t="shared" si="42"/>
        <v>2.6046066340034919</v>
      </c>
      <c r="O64" s="2463">
        <f t="shared" si="42"/>
        <v>2.6807041767345536</v>
      </c>
    </row>
    <row r="65" spans="1:15" x14ac:dyDescent="0.2">
      <c r="C65" s="2461"/>
      <c r="D65" s="2461"/>
      <c r="E65" s="2461"/>
      <c r="F65" s="2461"/>
      <c r="G65" s="2461"/>
      <c r="H65" s="2461"/>
      <c r="I65" s="2521"/>
      <c r="J65" s="2461"/>
      <c r="K65" s="2461"/>
      <c r="L65" s="2461"/>
      <c r="M65" s="2461"/>
      <c r="N65" s="2461"/>
      <c r="O65" s="2461"/>
    </row>
    <row r="66" spans="1:15" s="2449" customFormat="1" x14ac:dyDescent="0.2">
      <c r="A66" s="2449" t="s">
        <v>415</v>
      </c>
      <c r="B66" s="2515"/>
      <c r="C66" s="2463"/>
      <c r="D66" s="2463"/>
      <c r="E66" s="2463"/>
      <c r="F66" s="2463"/>
      <c r="G66" s="2463"/>
      <c r="H66" s="2463"/>
      <c r="I66" s="2522"/>
      <c r="J66" s="2463"/>
      <c r="K66" s="2463"/>
      <c r="L66" s="2463"/>
      <c r="M66" s="2463"/>
      <c r="N66" s="2463"/>
      <c r="O66" s="2463"/>
    </row>
    <row r="67" spans="1:15" x14ac:dyDescent="0.2">
      <c r="A67" s="2444" t="s">
        <v>429</v>
      </c>
      <c r="C67" s="2461">
        <f>'Koncern RR '!HJ166</f>
        <v>1588.2314030819521</v>
      </c>
      <c r="D67" s="2461">
        <f>'Koncern RR '!HK166</f>
        <v>1449.1670470743088</v>
      </c>
      <c r="E67" s="2461">
        <f>'Koncern RR '!HL166</f>
        <v>1588.2314030819521</v>
      </c>
      <c r="F67" s="2461">
        <f>'Koncern RR '!HM166</f>
        <v>1449.1670470743088</v>
      </c>
      <c r="G67" s="2461">
        <f>'Koncern RR '!HN166</f>
        <v>1588.2314030819521</v>
      </c>
      <c r="H67" s="2461">
        <f>'Koncern RR '!HO166</f>
        <v>1477.8225599580487</v>
      </c>
      <c r="I67" s="2521"/>
      <c r="J67" s="2461">
        <f>'Koncern RR '!HJ259</f>
        <v>805.5</v>
      </c>
      <c r="K67" s="2461">
        <f>'Koncern RR '!HK259</f>
        <v>696.9</v>
      </c>
      <c r="L67" s="2461">
        <f>'Koncern RR '!HL259</f>
        <v>805.5</v>
      </c>
      <c r="M67" s="2461">
        <f>'Koncern RR '!HM259</f>
        <v>696.9</v>
      </c>
      <c r="N67" s="2461">
        <f>'Koncern RR '!HN259</f>
        <v>805.5</v>
      </c>
      <c r="O67" s="2461">
        <f>'Koncern RR '!HO259</f>
        <v>714.8</v>
      </c>
    </row>
    <row r="68" spans="1:15" x14ac:dyDescent="0.2">
      <c r="A68" s="2444" t="s">
        <v>430</v>
      </c>
      <c r="C68" s="2461">
        <f>'Koncern RR '!HJ167</f>
        <v>300.57640936383132</v>
      </c>
      <c r="D68" s="2461">
        <f>'Koncern RR '!HK167</f>
        <v>287.87255881273001</v>
      </c>
      <c r="E68" s="2461">
        <f>'Koncern RR '!HL167</f>
        <v>300.57640936383132</v>
      </c>
      <c r="F68" s="2461">
        <f>'Koncern RR '!HM167</f>
        <v>287.87255881273001</v>
      </c>
      <c r="G68" s="2461">
        <f>'Koncern RR '!HN167</f>
        <v>300.57640936383132</v>
      </c>
      <c r="H68" s="2461">
        <f>'Koncern RR '!HO167</f>
        <v>294.66303192866252</v>
      </c>
      <c r="I68" s="2521"/>
      <c r="J68" s="2461">
        <f>'Koncern RR '!HJ260</f>
        <v>97.5</v>
      </c>
      <c r="K68" s="2461">
        <f>'Koncern RR '!HK260</f>
        <v>92.7</v>
      </c>
      <c r="L68" s="2461">
        <f>'Koncern RR '!HL260</f>
        <v>97.5</v>
      </c>
      <c r="M68" s="2461">
        <f>'Koncern RR '!HM260</f>
        <v>92.7</v>
      </c>
      <c r="N68" s="2461">
        <f>'Koncern RR '!HN260</f>
        <v>97.5</v>
      </c>
      <c r="O68" s="2461">
        <f>'Koncern RR '!HO260</f>
        <v>96.7</v>
      </c>
    </row>
    <row r="69" spans="1:15" x14ac:dyDescent="0.2">
      <c r="A69" s="2451" t="s">
        <v>36</v>
      </c>
      <c r="C69" s="2467">
        <f>'Koncern RR '!HJ168</f>
        <v>2464.0078124457832</v>
      </c>
      <c r="D69" s="2467">
        <f>'Koncern RR '!HK168</f>
        <v>2420.739605887039</v>
      </c>
      <c r="E69" s="2467">
        <f>'Koncern RR '!HL168</f>
        <v>2464.0078124457832</v>
      </c>
      <c r="F69" s="2467">
        <f>'Koncern RR '!HM168</f>
        <v>2420.739605887039</v>
      </c>
      <c r="G69" s="2467">
        <f>'Koncern RR '!HN168</f>
        <v>2464.0078124457832</v>
      </c>
      <c r="H69" s="2467">
        <f>'Koncern RR '!HO168</f>
        <v>2361.585591886711</v>
      </c>
      <c r="I69" s="2521"/>
      <c r="J69" s="2467">
        <f>'Koncern RR '!HJ261</f>
        <v>1478.1999999999998</v>
      </c>
      <c r="K69" s="2467">
        <f>'Koncern RR '!HK261</f>
        <v>1473.3</v>
      </c>
      <c r="L69" s="2467">
        <f>'Koncern RR '!HL261</f>
        <v>1478.1999999999998</v>
      </c>
      <c r="M69" s="2467">
        <f>'Koncern RR '!HM261</f>
        <v>1473.3</v>
      </c>
      <c r="N69" s="2467">
        <f>'Koncern RR '!HN261</f>
        <v>1478.1999999999998</v>
      </c>
      <c r="O69" s="2467">
        <f>'Koncern RR '!HO261</f>
        <v>1400.6</v>
      </c>
    </row>
    <row r="70" spans="1:15" s="2449" customFormat="1" x14ac:dyDescent="0.2">
      <c r="A70" s="2449" t="s">
        <v>415</v>
      </c>
      <c r="B70" s="2515"/>
      <c r="C70" s="2466">
        <f>((C67+C68)/C69)*100</f>
        <v>76.655918171417881</v>
      </c>
      <c r="D70" s="2466">
        <f t="shared" ref="D70:H70" si="43">((D67+D68)/D69)*100</f>
        <v>71.756565706724572</v>
      </c>
      <c r="E70" s="2466">
        <f t="shared" si="43"/>
        <v>76.655918171417881</v>
      </c>
      <c r="F70" s="2466">
        <f t="shared" si="43"/>
        <v>71.756565706724572</v>
      </c>
      <c r="G70" s="2466">
        <f t="shared" si="43"/>
        <v>76.655918171417881</v>
      </c>
      <c r="H70" s="2466">
        <f t="shared" si="43"/>
        <v>75.054895235477886</v>
      </c>
      <c r="I70" s="2522"/>
      <c r="J70" s="2466">
        <f>((J67+J68)/J69)*100</f>
        <v>61.087809498038162</v>
      </c>
      <c r="K70" s="2466">
        <f t="shared" ref="K70:O70" si="44">((K67+K68)/K69)*100</f>
        <v>53.593972714314809</v>
      </c>
      <c r="L70" s="2466">
        <f t="shared" si="44"/>
        <v>61.087809498038162</v>
      </c>
      <c r="M70" s="2466">
        <f t="shared" si="44"/>
        <v>53.593972714314809</v>
      </c>
      <c r="N70" s="2466">
        <f t="shared" si="44"/>
        <v>61.087809498038162</v>
      </c>
      <c r="O70" s="2466">
        <f t="shared" si="44"/>
        <v>57.939454519491647</v>
      </c>
    </row>
    <row r="71" spans="1:15" x14ac:dyDescent="0.2">
      <c r="C71" s="2461"/>
      <c r="D71" s="2461"/>
      <c r="E71" s="2461"/>
      <c r="F71" s="2461"/>
      <c r="G71" s="2461"/>
      <c r="H71" s="2461"/>
      <c r="I71" s="2521"/>
      <c r="J71" s="2461"/>
      <c r="K71" s="2461"/>
      <c r="L71" s="2461"/>
      <c r="M71" s="2461"/>
      <c r="N71" s="2461"/>
      <c r="O71" s="2461"/>
    </row>
    <row r="72" spans="1:15" s="2449" customFormat="1" x14ac:dyDescent="0.2">
      <c r="A72" s="2449" t="s">
        <v>416</v>
      </c>
      <c r="B72" s="2515"/>
      <c r="C72" s="2463"/>
      <c r="D72" s="2463"/>
      <c r="E72" s="2463"/>
      <c r="F72" s="2463"/>
      <c r="G72" s="2463"/>
      <c r="H72" s="2463"/>
      <c r="I72" s="2522"/>
      <c r="J72" s="2463"/>
      <c r="K72" s="2463"/>
      <c r="L72" s="2463"/>
      <c r="M72" s="2463"/>
      <c r="N72" s="2463"/>
      <c r="O72" s="2463"/>
    </row>
    <row r="73" spans="1:15" x14ac:dyDescent="0.2">
      <c r="A73" s="2444" t="s">
        <v>932</v>
      </c>
      <c r="C73" s="2461">
        <f>SUM('Koncern RR '!HJ173:HJ174)</f>
        <v>65.214989180000117</v>
      </c>
      <c r="D73" s="2461">
        <f>SUM('Koncern RR '!HK173:HK174)</f>
        <v>12.215213019999798</v>
      </c>
      <c r="E73" s="2461">
        <f>SUM('Koncern RR '!HL173:HL174)</f>
        <v>90.060497760000089</v>
      </c>
      <c r="F73" s="2461">
        <f>SUM('Koncern RR '!HM173:HM174)</f>
        <v>48.002392929999864</v>
      </c>
      <c r="G73" s="2461">
        <f>SUM('Koncern RR '!HN173:HN174)</f>
        <v>92.545195710000286</v>
      </c>
      <c r="H73" s="2461">
        <f>SUM('Koncern RR '!HO173:HO174)</f>
        <v>50.487090880000054</v>
      </c>
      <c r="I73" s="2521"/>
      <c r="J73" s="2461">
        <f>SUM('Koncern RR '!HJ266:HJ267)</f>
        <v>90.44213318000007</v>
      </c>
      <c r="K73" s="2461">
        <f>SUM('Koncern RR '!HK266:HK267)</f>
        <v>35.940213019999852</v>
      </c>
      <c r="L73" s="2461">
        <f>SUM('Koncern RR '!HL266:HL267)</f>
        <v>139.58828376000005</v>
      </c>
      <c r="M73" s="2461">
        <f>SUM('Koncern RR '!HM266:HM267)</f>
        <v>96.352392929999937</v>
      </c>
      <c r="N73" s="2461">
        <f>SUM('Koncern RR '!HN266:HN267)</f>
        <v>191.12298171000023</v>
      </c>
      <c r="O73" s="2461">
        <f>SUM('Koncern RR '!HO266:HO267)</f>
        <v>147.88709088000013</v>
      </c>
    </row>
    <row r="74" spans="1:15" x14ac:dyDescent="0.2">
      <c r="A74" s="2451" t="s">
        <v>933</v>
      </c>
      <c r="C74" s="2467">
        <f>'Koncern RR '!HJ174</f>
        <v>2.3421331799999994</v>
      </c>
      <c r="D74" s="2467">
        <f>'Koncern RR '!HK174</f>
        <v>1.34021302</v>
      </c>
      <c r="E74" s="2467">
        <f>'Koncern RR '!HL174</f>
        <v>4.2882837599999997</v>
      </c>
      <c r="F74" s="2467">
        <f>'Koncern RR '!HM174</f>
        <v>2.8523929299999997</v>
      </c>
      <c r="G74" s="2467">
        <f>'Koncern RR '!HN174</f>
        <v>7.6229817099999995</v>
      </c>
      <c r="H74" s="2467">
        <f>'Koncern RR '!HO174</f>
        <v>6.1870908799999995</v>
      </c>
      <c r="I74" s="2521"/>
      <c r="J74" s="2467">
        <f>C74</f>
        <v>2.3421331799999994</v>
      </c>
      <c r="K74" s="2467">
        <f t="shared" ref="K74:O74" si="45">D74</f>
        <v>1.34021302</v>
      </c>
      <c r="L74" s="2467">
        <f t="shared" si="45"/>
        <v>4.2882837599999997</v>
      </c>
      <c r="M74" s="2467">
        <f t="shared" si="45"/>
        <v>2.8523929299999997</v>
      </c>
      <c r="N74" s="2467">
        <f t="shared" si="45"/>
        <v>7.6229817099999995</v>
      </c>
      <c r="O74" s="2467">
        <f t="shared" si="45"/>
        <v>6.1870908799999995</v>
      </c>
    </row>
    <row r="75" spans="1:15" s="2449" customFormat="1" x14ac:dyDescent="0.2">
      <c r="A75" s="2449" t="s">
        <v>416</v>
      </c>
      <c r="B75" s="2515"/>
      <c r="C75" s="2463">
        <f>C73/C74</f>
        <v>27.844270230610942</v>
      </c>
      <c r="D75" s="2463">
        <f t="shared" ref="D75:O75" si="46">D73/D74</f>
        <v>9.1143816973213685</v>
      </c>
      <c r="E75" s="2463">
        <f t="shared" si="46"/>
        <v>21.001524805811847</v>
      </c>
      <c r="F75" s="2463">
        <f t="shared" si="46"/>
        <v>16.828815001304839</v>
      </c>
      <c r="G75" s="2463">
        <f t="shared" si="46"/>
        <v>12.140288305899698</v>
      </c>
      <c r="H75" s="2463">
        <f t="shared" si="46"/>
        <v>8.1600693862767475</v>
      </c>
      <c r="I75" s="2522"/>
      <c r="J75" s="2463">
        <f t="shared" si="46"/>
        <v>38.615281979823237</v>
      </c>
      <c r="K75" s="2463">
        <f t="shared" si="46"/>
        <v>26.816791423202151</v>
      </c>
      <c r="L75" s="2463">
        <f t="shared" si="46"/>
        <v>32.551083737051968</v>
      </c>
      <c r="M75" s="2463">
        <f t="shared" si="46"/>
        <v>33.779495074684519</v>
      </c>
      <c r="N75" s="2463">
        <f t="shared" si="46"/>
        <v>25.071945464499908</v>
      </c>
      <c r="O75" s="2463">
        <f t="shared" si="46"/>
        <v>23.902524425178662</v>
      </c>
    </row>
    <row r="76" spans="1:15" x14ac:dyDescent="0.2">
      <c r="C76" s="2461"/>
      <c r="D76" s="2461"/>
      <c r="E76" s="2461"/>
      <c r="F76" s="2461"/>
      <c r="G76" s="2461"/>
      <c r="H76" s="2461"/>
      <c r="I76" s="2521"/>
      <c r="J76" s="2461"/>
      <c r="K76" s="2461"/>
      <c r="L76" s="2461"/>
      <c r="M76" s="2461"/>
      <c r="N76" s="2461"/>
      <c r="O76" s="2461"/>
    </row>
    <row r="77" spans="1:15" s="2449" customFormat="1" x14ac:dyDescent="0.2">
      <c r="A77" s="2449" t="s">
        <v>286</v>
      </c>
      <c r="B77" s="2515"/>
      <c r="C77" s="2463"/>
      <c r="D77" s="2463"/>
      <c r="E77" s="2463"/>
      <c r="F77" s="2463"/>
      <c r="G77" s="2463"/>
      <c r="H77" s="2463"/>
      <c r="I77" s="2522"/>
      <c r="J77" s="2463"/>
      <c r="K77" s="2463"/>
      <c r="L77" s="2463"/>
      <c r="M77" s="2463"/>
      <c r="N77" s="2463"/>
      <c r="O77" s="2463"/>
    </row>
    <row r="78" spans="1:15" x14ac:dyDescent="0.2">
      <c r="A78" s="2444" t="s">
        <v>2</v>
      </c>
      <c r="C78" s="2461">
        <f>C18</f>
        <v>684.69999999999993</v>
      </c>
      <c r="D78" s="2461">
        <f t="shared" ref="D78:G78" si="47">D18</f>
        <v>671.99999999999989</v>
      </c>
      <c r="E78" s="2461">
        <f t="shared" si="47"/>
        <v>1294.3</v>
      </c>
      <c r="F78" s="2461">
        <f t="shared" si="47"/>
        <v>1311.6</v>
      </c>
      <c r="G78" s="2461">
        <f t="shared" si="47"/>
        <v>2312.5</v>
      </c>
      <c r="H78" s="2461">
        <f>H18</f>
        <v>2329.8000000000002</v>
      </c>
      <c r="I78" s="2521"/>
      <c r="J78" s="2461">
        <f>C78</f>
        <v>684.69999999999993</v>
      </c>
      <c r="K78" s="2461">
        <f t="shared" ref="K78:O80" si="48">D78</f>
        <v>671.99999999999989</v>
      </c>
      <c r="L78" s="2461">
        <f t="shared" si="48"/>
        <v>1294.3</v>
      </c>
      <c r="M78" s="2461">
        <f t="shared" si="48"/>
        <v>1311.6</v>
      </c>
      <c r="N78" s="2461">
        <f t="shared" si="48"/>
        <v>2312.5</v>
      </c>
      <c r="O78" s="2461">
        <f t="shared" si="48"/>
        <v>2329.8000000000002</v>
      </c>
    </row>
    <row r="79" spans="1:15" x14ac:dyDescent="0.2">
      <c r="A79" s="2451" t="s">
        <v>279</v>
      </c>
      <c r="C79" s="2467">
        <f>'Koncern RR '!HJ21</f>
        <v>498</v>
      </c>
      <c r="D79" s="2467">
        <f>'Koncern RR '!HK21</f>
        <v>499</v>
      </c>
      <c r="E79" s="2467">
        <f>'Koncern RR '!HL21</f>
        <v>498.5</v>
      </c>
      <c r="F79" s="2467">
        <f>'Koncern RR '!HM21</f>
        <v>497</v>
      </c>
      <c r="G79" s="2467">
        <f>'Koncern RR '!HN21</f>
        <v>498.5</v>
      </c>
      <c r="H79" s="2467">
        <f>'Koncern RR '!HO21</f>
        <v>497.75</v>
      </c>
      <c r="I79" s="2521"/>
      <c r="J79" s="2467">
        <f t="shared" ref="J79:J80" si="49">C79</f>
        <v>498</v>
      </c>
      <c r="K79" s="2467">
        <f t="shared" si="48"/>
        <v>499</v>
      </c>
      <c r="L79" s="2467">
        <f t="shared" si="48"/>
        <v>498.5</v>
      </c>
      <c r="M79" s="2467">
        <f t="shared" si="48"/>
        <v>497</v>
      </c>
      <c r="N79" s="2467">
        <f t="shared" si="48"/>
        <v>498.5</v>
      </c>
      <c r="O79" s="2467">
        <f t="shared" si="48"/>
        <v>497.75</v>
      </c>
    </row>
    <row r="80" spans="1:15" s="2449" customFormat="1" x14ac:dyDescent="0.2">
      <c r="A80" s="2449" t="s">
        <v>286</v>
      </c>
      <c r="B80" s="2515"/>
      <c r="C80" s="2463">
        <f>C78/C79</f>
        <v>1.3748995983935741</v>
      </c>
      <c r="D80" s="2463">
        <f t="shared" ref="D80:H80" si="50">D78/D79</f>
        <v>1.3466933867735469</v>
      </c>
      <c r="E80" s="2463">
        <f t="shared" si="50"/>
        <v>2.5963891675025073</v>
      </c>
      <c r="F80" s="2463">
        <f t="shared" si="50"/>
        <v>2.639034205231388</v>
      </c>
      <c r="G80" s="2463">
        <f t="shared" si="50"/>
        <v>4.6389167502507522</v>
      </c>
      <c r="H80" s="2463">
        <f t="shared" si="50"/>
        <v>4.6806629834254148</v>
      </c>
      <c r="I80" s="2522"/>
      <c r="J80" s="2463">
        <f t="shared" si="49"/>
        <v>1.3748995983935741</v>
      </c>
      <c r="K80" s="2463">
        <f t="shared" si="48"/>
        <v>1.3466933867735469</v>
      </c>
      <c r="L80" s="2463">
        <f t="shared" si="48"/>
        <v>2.5963891675025073</v>
      </c>
      <c r="M80" s="2463">
        <f t="shared" si="48"/>
        <v>2.639034205231388</v>
      </c>
      <c r="N80" s="2463">
        <f t="shared" si="48"/>
        <v>4.6389167502507522</v>
      </c>
      <c r="O80" s="2463">
        <f t="shared" si="48"/>
        <v>4.6806629834254148</v>
      </c>
    </row>
    <row r="81" spans="1:15" x14ac:dyDescent="0.2">
      <c r="C81" s="2461"/>
      <c r="D81" s="2461"/>
      <c r="E81" s="2461"/>
      <c r="F81" s="2461"/>
      <c r="G81" s="2461"/>
      <c r="H81" s="2461"/>
      <c r="I81" s="2521"/>
      <c r="J81" s="2461"/>
      <c r="K81" s="2461"/>
      <c r="L81" s="2461"/>
      <c r="M81" s="2461"/>
      <c r="N81" s="2461"/>
      <c r="O81" s="2461"/>
    </row>
    <row r="82" spans="1:15" s="2449" customFormat="1" x14ac:dyDescent="0.2">
      <c r="A82" s="2449" t="s">
        <v>934</v>
      </c>
      <c r="B82" s="2515"/>
      <c r="C82" s="2463"/>
      <c r="D82" s="2463"/>
      <c r="E82" s="2463"/>
      <c r="F82" s="2463"/>
      <c r="G82" s="2463"/>
      <c r="H82" s="2463"/>
      <c r="I82" s="2522"/>
      <c r="J82" s="2463"/>
      <c r="K82" s="2463"/>
      <c r="L82" s="2463"/>
      <c r="M82" s="2463"/>
      <c r="N82" s="2463"/>
      <c r="O82" s="2463"/>
    </row>
    <row r="83" spans="1:15" x14ac:dyDescent="0.2">
      <c r="A83" s="2444" t="s">
        <v>935</v>
      </c>
      <c r="C83" s="2461">
        <f>'Koncern RR '!HJ34</f>
        <v>62.872856000000112</v>
      </c>
      <c r="D83" s="2461">
        <f>'Koncern RR '!HK34</f>
        <v>10.874999999999797</v>
      </c>
      <c r="E83" s="2461">
        <f>'Koncern RR '!HL34</f>
        <v>85.772214000000091</v>
      </c>
      <c r="F83" s="2461">
        <f>'Koncern RR '!HM34</f>
        <v>45.149999999999864</v>
      </c>
      <c r="G83" s="2461">
        <f>'Koncern RR '!HN34</f>
        <v>84.922214000000281</v>
      </c>
      <c r="H83" s="2461">
        <f>'Koncern RR '!HO34</f>
        <v>44.300000000000054</v>
      </c>
      <c r="I83" s="2521"/>
      <c r="J83" s="2461">
        <f>'Koncern RR '!HJ60</f>
        <v>88.100000000000065</v>
      </c>
      <c r="K83" s="2461">
        <f>'Koncern RR '!HK60</f>
        <v>34.599999999999852</v>
      </c>
      <c r="L83" s="2461">
        <f>'Koncern RR '!HL60</f>
        <v>135.30000000000004</v>
      </c>
      <c r="M83" s="2461">
        <f>'Koncern RR '!HM60</f>
        <v>93.499999999999943</v>
      </c>
      <c r="N83" s="2461">
        <f>'Koncern RR '!HN60</f>
        <v>183.50000000000023</v>
      </c>
      <c r="O83" s="2461">
        <f>'Koncern RR '!HO60</f>
        <v>141.70000000000013</v>
      </c>
    </row>
    <row r="84" spans="1:15" x14ac:dyDescent="0.2">
      <c r="A84" s="2451" t="s">
        <v>279</v>
      </c>
      <c r="C84" s="2467">
        <f>C79</f>
        <v>498</v>
      </c>
      <c r="D84" s="2467">
        <f t="shared" ref="D84:H84" si="51">D79</f>
        <v>499</v>
      </c>
      <c r="E84" s="2467">
        <f t="shared" si="51"/>
        <v>498.5</v>
      </c>
      <c r="F84" s="2467">
        <f t="shared" si="51"/>
        <v>497</v>
      </c>
      <c r="G84" s="2467">
        <f t="shared" si="51"/>
        <v>498.5</v>
      </c>
      <c r="H84" s="2467">
        <f t="shared" si="51"/>
        <v>497.75</v>
      </c>
      <c r="I84" s="2521"/>
      <c r="J84" s="2467">
        <f>C84</f>
        <v>498</v>
      </c>
      <c r="K84" s="2467">
        <f t="shared" ref="K84:O84" si="52">D84</f>
        <v>499</v>
      </c>
      <c r="L84" s="2467">
        <f t="shared" si="52"/>
        <v>498.5</v>
      </c>
      <c r="M84" s="2467">
        <f t="shared" si="52"/>
        <v>497</v>
      </c>
      <c r="N84" s="2467">
        <f t="shared" si="52"/>
        <v>498.5</v>
      </c>
      <c r="O84" s="2467">
        <f t="shared" si="52"/>
        <v>497.75</v>
      </c>
    </row>
    <row r="85" spans="1:15" s="2449" customFormat="1" x14ac:dyDescent="0.2">
      <c r="A85" s="2449" t="s">
        <v>934</v>
      </c>
      <c r="B85" s="2515"/>
      <c r="C85" s="2463">
        <f>(C83*1000)/C84</f>
        <v>126.25071485943796</v>
      </c>
      <c r="D85" s="2463">
        <f t="shared" ref="D85:H85" si="53">(D83*1000)/D84</f>
        <v>21.793587174348293</v>
      </c>
      <c r="E85" s="2463">
        <f t="shared" si="53"/>
        <v>172.06060982948867</v>
      </c>
      <c r="F85" s="2463">
        <f t="shared" si="53"/>
        <v>90.845070422534931</v>
      </c>
      <c r="G85" s="2463">
        <f t="shared" si="53"/>
        <v>170.35549448345091</v>
      </c>
      <c r="H85" s="2463">
        <f t="shared" si="53"/>
        <v>89.000502260170876</v>
      </c>
      <c r="I85" s="2522"/>
      <c r="J85" s="2463">
        <f>(J83*1000)/J84</f>
        <v>176.90763052208848</v>
      </c>
      <c r="K85" s="2463">
        <f t="shared" ref="K85:O85" si="54">(K83*1000)/K84</f>
        <v>69.338677354709134</v>
      </c>
      <c r="L85" s="2463">
        <f t="shared" si="54"/>
        <v>271.4142427281846</v>
      </c>
      <c r="M85" s="2463">
        <f t="shared" si="54"/>
        <v>188.12877263581478</v>
      </c>
      <c r="N85" s="2463">
        <f t="shared" si="54"/>
        <v>368.10431293881692</v>
      </c>
      <c r="O85" s="2463">
        <f t="shared" si="54"/>
        <v>284.68106479156228</v>
      </c>
    </row>
    <row r="86" spans="1:15" x14ac:dyDescent="0.2">
      <c r="C86" s="2461"/>
      <c r="D86" s="2461"/>
      <c r="E86" s="2461"/>
      <c r="F86" s="2461"/>
      <c r="G86" s="2461"/>
      <c r="H86" s="2461"/>
      <c r="I86" s="2521"/>
      <c r="J86" s="2461"/>
      <c r="K86" s="2461"/>
      <c r="L86" s="2461"/>
      <c r="M86" s="2461"/>
      <c r="N86" s="2461"/>
      <c r="O86" s="2461"/>
    </row>
    <row r="87" spans="1:15" s="2449" customFormat="1" x14ac:dyDescent="0.2">
      <c r="A87" s="2452" t="s">
        <v>35</v>
      </c>
      <c r="B87" s="2517"/>
      <c r="C87" s="2463"/>
      <c r="D87" s="2463"/>
      <c r="E87" s="2463"/>
      <c r="F87" s="2463"/>
      <c r="G87" s="2463"/>
      <c r="H87" s="2463"/>
      <c r="I87" s="2522"/>
      <c r="J87" s="2463"/>
      <c r="K87" s="2463"/>
      <c r="L87" s="2463"/>
      <c r="M87" s="2463"/>
      <c r="N87" s="2463"/>
      <c r="O87" s="2463"/>
    </row>
    <row r="88" spans="1:15" x14ac:dyDescent="0.2">
      <c r="A88" s="2444" t="s">
        <v>429</v>
      </c>
      <c r="C88" s="2461">
        <f>'Koncern RR '!HJ118</f>
        <v>1588.2314030819521</v>
      </c>
      <c r="D88" s="2461">
        <f>'Koncern RR '!HK118</f>
        <v>1449.1670470743088</v>
      </c>
      <c r="E88" s="2461">
        <f>'Koncern RR '!HL118</f>
        <v>1588.2314030819521</v>
      </c>
      <c r="F88" s="2461">
        <f>'Koncern RR '!HM118</f>
        <v>1449.1670470743088</v>
      </c>
      <c r="G88" s="2461">
        <f>'Koncern RR '!HN118</f>
        <v>1588.2314030819521</v>
      </c>
      <c r="H88" s="2461">
        <f>'Koncern RR '!HO118</f>
        <v>1477.8225599580487</v>
      </c>
      <c r="I88" s="2521"/>
      <c r="J88" s="2461">
        <f>'Koncern RR '!HJ211</f>
        <v>805.5</v>
      </c>
      <c r="K88" s="2461">
        <f>'Koncern RR '!HK211</f>
        <v>696.9</v>
      </c>
      <c r="L88" s="2461">
        <f>'Koncern RR '!HL211</f>
        <v>805.5</v>
      </c>
      <c r="M88" s="2461">
        <f>'Koncern RR '!HM211</f>
        <v>696.9</v>
      </c>
      <c r="N88" s="2461">
        <f>'Koncern RR '!HN211</f>
        <v>805.5</v>
      </c>
      <c r="O88" s="2461">
        <f>'Koncern RR '!HO211</f>
        <v>714.8</v>
      </c>
    </row>
    <row r="89" spans="1:15" x14ac:dyDescent="0.2">
      <c r="A89" s="2444" t="s">
        <v>346</v>
      </c>
      <c r="C89" s="2461">
        <f t="shared" ref="C89:H89" si="55">C88-C100</f>
        <v>26.454628061639141</v>
      </c>
      <c r="D89" s="2461">
        <f t="shared" si="55"/>
        <v>30.24534094148612</v>
      </c>
      <c r="E89" s="2461">
        <f t="shared" si="55"/>
        <v>26.454628061639141</v>
      </c>
      <c r="F89" s="2461">
        <f t="shared" si="55"/>
        <v>30.24534094148612</v>
      </c>
      <c r="G89" s="2461">
        <f t="shared" si="55"/>
        <v>26.454628061639141</v>
      </c>
      <c r="H89" s="2461">
        <f t="shared" si="55"/>
        <v>31.260451199161025</v>
      </c>
      <c r="I89" s="2521"/>
      <c r="J89" s="2461">
        <f>J88-J100</f>
        <v>10.799999999999955</v>
      </c>
      <c r="K89" s="2461">
        <f t="shared" ref="K89:O89" si="56">K88-K100</f>
        <v>15.200000000000045</v>
      </c>
      <c r="L89" s="2461">
        <f t="shared" si="56"/>
        <v>10.799999999999955</v>
      </c>
      <c r="M89" s="2461">
        <f t="shared" si="56"/>
        <v>15.200000000000045</v>
      </c>
      <c r="N89" s="2461">
        <f t="shared" si="56"/>
        <v>10.799999999999955</v>
      </c>
      <c r="O89" s="2461">
        <f t="shared" si="56"/>
        <v>16</v>
      </c>
    </row>
    <row r="90" spans="1:15" x14ac:dyDescent="0.2">
      <c r="A90" s="2451" t="s">
        <v>936</v>
      </c>
      <c r="C90" s="2467">
        <f>'Koncern RR '!HJ23</f>
        <v>7399</v>
      </c>
      <c r="D90" s="2467">
        <f>'Koncern RR '!HK23</f>
        <v>7399</v>
      </c>
      <c r="E90" s="2467">
        <f>'Koncern RR '!HL23</f>
        <v>7399</v>
      </c>
      <c r="F90" s="2467">
        <f>'Koncern RR '!HM23</f>
        <v>7399</v>
      </c>
      <c r="G90" s="2467">
        <f>'Koncern RR '!HN23</f>
        <v>7399</v>
      </c>
      <c r="H90" s="2467">
        <f>'Koncern RR '!HO23</f>
        <v>7399</v>
      </c>
      <c r="I90" s="2521"/>
      <c r="J90" s="2467">
        <f>C90</f>
        <v>7399</v>
      </c>
      <c r="K90" s="2467">
        <f t="shared" ref="K90:O90" si="57">D90</f>
        <v>7399</v>
      </c>
      <c r="L90" s="2467">
        <f t="shared" si="57"/>
        <v>7399</v>
      </c>
      <c r="M90" s="2467">
        <f t="shared" si="57"/>
        <v>7399</v>
      </c>
      <c r="N90" s="2467">
        <f t="shared" si="57"/>
        <v>7399</v>
      </c>
      <c r="O90" s="2467">
        <f t="shared" si="57"/>
        <v>7399</v>
      </c>
    </row>
    <row r="91" spans="1:15" s="2449" customFormat="1" x14ac:dyDescent="0.2">
      <c r="A91" s="2449" t="s">
        <v>35</v>
      </c>
      <c r="B91" s="2515"/>
      <c r="C91" s="2466">
        <f>((C88-C89)*1000)/C90</f>
        <v>211.07943979190605</v>
      </c>
      <c r="D91" s="2466">
        <f t="shared" ref="D91:H91" si="58">((D88-D89)*1000)/D90</f>
        <v>191.77209165195603</v>
      </c>
      <c r="E91" s="2466">
        <f t="shared" si="58"/>
        <v>211.07943979190605</v>
      </c>
      <c r="F91" s="2466">
        <f t="shared" si="58"/>
        <v>191.77209165195603</v>
      </c>
      <c r="G91" s="2466">
        <f t="shared" si="58"/>
        <v>211.07943979190605</v>
      </c>
      <c r="H91" s="2466">
        <f t="shared" si="58"/>
        <v>195.50778601958208</v>
      </c>
      <c r="I91" s="2522"/>
      <c r="J91" s="2466">
        <f>((J88-J89)*1000)/J90</f>
        <v>107.40640627111772</v>
      </c>
      <c r="K91" s="2466">
        <f t="shared" ref="K91:O91" si="59">((K88-K89)*1000)/K90</f>
        <v>92.134072171915108</v>
      </c>
      <c r="L91" s="2466">
        <f t="shared" si="59"/>
        <v>107.40640627111772</v>
      </c>
      <c r="M91" s="2466">
        <f t="shared" si="59"/>
        <v>92.134072171915108</v>
      </c>
      <c r="N91" s="2466">
        <f t="shared" si="59"/>
        <v>107.40640627111772</v>
      </c>
      <c r="O91" s="2466">
        <f t="shared" si="59"/>
        <v>94.445195296661709</v>
      </c>
    </row>
    <row r="92" spans="1:15" x14ac:dyDescent="0.2">
      <c r="A92" s="2453"/>
      <c r="B92" s="2518"/>
      <c r="C92" s="2465"/>
      <c r="D92" s="2465"/>
      <c r="E92" s="2465"/>
      <c r="F92" s="2465"/>
      <c r="G92" s="2465"/>
      <c r="H92" s="2465"/>
      <c r="I92" s="2523"/>
      <c r="J92" s="2465"/>
      <c r="K92" s="2465"/>
      <c r="L92" s="2465"/>
      <c r="M92" s="2465"/>
      <c r="N92" s="2465"/>
      <c r="O92" s="2465"/>
    </row>
    <row r="93" spans="1:15" x14ac:dyDescent="0.2">
      <c r="A93" s="2460" t="str">
        <f>A12</f>
        <v>Rörelseresultat, Mkr</v>
      </c>
      <c r="B93" s="2519"/>
      <c r="C93" s="2472">
        <f>'[1]Koncern RR '!FP16</f>
        <v>67.17285600000011</v>
      </c>
      <c r="D93" s="2472">
        <f>'[1]Koncern RR '!FQ16</f>
        <v>16.674999999999798</v>
      </c>
      <c r="E93" s="2472">
        <f>'[1]Koncern RR '!FR16</f>
        <v>93.272214000000076</v>
      </c>
      <c r="F93" s="2472">
        <f>'[1]Koncern RR '!FS16</f>
        <v>49.549999999999862</v>
      </c>
      <c r="G93" s="2472">
        <f>'[1]Koncern RR '!FT16</f>
        <v>94.922214000000281</v>
      </c>
      <c r="H93" s="2472">
        <f>'[1]Koncern RR '!FU16</f>
        <v>51.200000000000053</v>
      </c>
      <c r="I93" s="2524">
        <f>'[1]Koncern RR '!FV16</f>
        <v>0</v>
      </c>
      <c r="J93" s="2472">
        <f>'[1]Koncern RR '!FW16</f>
        <v>92.400000000000063</v>
      </c>
      <c r="K93" s="2472">
        <f>'[1]Koncern RR '!FX16</f>
        <v>40.399999999999849</v>
      </c>
      <c r="L93" s="2472">
        <f>'[1]Koncern RR '!FY16</f>
        <v>142.80000000000004</v>
      </c>
      <c r="M93" s="2472">
        <f>'[1]Koncern RR '!FZ16</f>
        <v>97.899999999999949</v>
      </c>
      <c r="N93" s="2472">
        <f>'[1]Koncern RR '!GA16</f>
        <v>193.50000000000023</v>
      </c>
      <c r="O93" s="2472">
        <f>'[1]Koncern RR '!GB16</f>
        <v>148.60000000000014</v>
      </c>
    </row>
    <row r="94" spans="1:15" x14ac:dyDescent="0.2">
      <c r="A94" s="2460" t="str">
        <f>A8</f>
        <v>Av- och nedskrivningar</v>
      </c>
      <c r="B94" s="2519"/>
      <c r="C94" s="2472">
        <f>'[1]Koncern RR '!FP15*-1</f>
        <v>46.927143999999998</v>
      </c>
      <c r="D94" s="2472">
        <f>'[1]Koncern RR '!FQ15*-1</f>
        <v>46.524999999999999</v>
      </c>
      <c r="E94" s="2472">
        <f>'[1]Koncern RR '!FR15*-1</f>
        <v>93.227786000000009</v>
      </c>
      <c r="F94" s="2472">
        <f>'[1]Koncern RR '!FS15*-1</f>
        <v>93.05</v>
      </c>
      <c r="G94" s="2472">
        <f>'[1]Koncern RR '!FT15*-1</f>
        <v>186.27778599999999</v>
      </c>
      <c r="H94" s="2472">
        <f>'[1]Koncern RR '!FU15*-1</f>
        <v>186.1</v>
      </c>
      <c r="I94" s="2524">
        <f>'[1]Koncern RR '!FV15*-1</f>
        <v>0</v>
      </c>
      <c r="J94" s="2472">
        <f>'[1]Koncern RR '!FW15*-1</f>
        <v>21.699999999999996</v>
      </c>
      <c r="K94" s="2472">
        <f>'[1]Koncern RR '!FX15*-1</f>
        <v>22.8</v>
      </c>
      <c r="L94" s="2472">
        <f>'[1]Koncern RR '!FY15*-1</f>
        <v>43.7</v>
      </c>
      <c r="M94" s="2472">
        <f>'[1]Koncern RR '!FZ15*-1</f>
        <v>44.7</v>
      </c>
      <c r="N94" s="2472">
        <f>'[1]Koncern RR '!GA15*-1</f>
        <v>87.699999999999989</v>
      </c>
      <c r="O94" s="2472">
        <f>'[1]Koncern RR '!GB15*-1</f>
        <v>88.7</v>
      </c>
    </row>
    <row r="95" spans="1:15" x14ac:dyDescent="0.2">
      <c r="A95" s="2460" t="str">
        <f>A13</f>
        <v>Intäkter, Mkr</v>
      </c>
      <c r="B95" s="2519"/>
      <c r="C95" s="2472">
        <f>'[1]Koncern RR '!FP12</f>
        <v>684.69999999999993</v>
      </c>
      <c r="D95" s="2472">
        <f>'[1]Koncern RR '!FQ12</f>
        <v>671.99999999999989</v>
      </c>
      <c r="E95" s="2472">
        <f>'[1]Koncern RR '!FR12</f>
        <v>1294.3</v>
      </c>
      <c r="F95" s="2472">
        <f>'[1]Koncern RR '!FS12</f>
        <v>1311.6</v>
      </c>
      <c r="G95" s="2472">
        <f>'[1]Koncern RR '!FT12</f>
        <v>2312.5</v>
      </c>
      <c r="H95" s="2472">
        <f>'[1]Koncern RR '!FU12</f>
        <v>2329.8000000000002</v>
      </c>
      <c r="I95" s="2524">
        <f>'[1]Koncern RR '!FV12</f>
        <v>0</v>
      </c>
      <c r="J95" s="2472">
        <f>'[1]Koncern RR '!FW12</f>
        <v>684.69999999999993</v>
      </c>
      <c r="K95" s="2472">
        <f>'[1]Koncern RR '!FX12</f>
        <v>671.99999999999989</v>
      </c>
      <c r="L95" s="2472">
        <f>'[1]Koncern RR '!FY12</f>
        <v>1294.3</v>
      </c>
      <c r="M95" s="2472">
        <f>'[1]Koncern RR '!FZ12</f>
        <v>1311.6</v>
      </c>
      <c r="N95" s="2472">
        <f>'[1]Koncern RR '!GA12</f>
        <v>2312.5</v>
      </c>
      <c r="O95" s="2472">
        <f>'[1]Koncern RR '!GB12</f>
        <v>2329.8000000000002</v>
      </c>
    </row>
    <row r="96" spans="1:15" x14ac:dyDescent="0.2">
      <c r="A96" s="2460" t="str">
        <f>A17</f>
        <v>Resultat före skatt, Mkr</v>
      </c>
      <c r="B96" s="2519"/>
      <c r="C96" s="2472">
        <f>'[1]Koncern RR '!HJ34</f>
        <v>62.872856000000112</v>
      </c>
      <c r="D96" s="2472">
        <f>'[1]Koncern RR '!HK34</f>
        <v>10.874999999999797</v>
      </c>
      <c r="E96" s="2472">
        <f>'[1]Koncern RR '!HL34</f>
        <v>85.772214000000091</v>
      </c>
      <c r="F96" s="2472">
        <f>'[1]Koncern RR '!HM34</f>
        <v>45.149999999999864</v>
      </c>
      <c r="G96" s="2472">
        <f>'[1]Koncern RR '!HN34</f>
        <v>84.922214000000281</v>
      </c>
      <c r="H96" s="2472">
        <f>'[1]Koncern RR '!HO34</f>
        <v>44.300000000000054</v>
      </c>
      <c r="I96" s="2524"/>
      <c r="J96" s="2472">
        <f>'[1]Koncern RR '!HJ60</f>
        <v>88.100000000000065</v>
      </c>
      <c r="K96" s="2472">
        <f>'[1]Koncern RR '!HK60</f>
        <v>34.599999999999852</v>
      </c>
      <c r="L96" s="2472">
        <f>'[1]Koncern RR '!HL60</f>
        <v>135.30000000000004</v>
      </c>
      <c r="M96" s="2472">
        <f>'[1]Koncern RR '!HM60</f>
        <v>93.499999999999943</v>
      </c>
      <c r="N96" s="2472">
        <f>'[1]Koncern RR '!HN60</f>
        <v>183.50000000000023</v>
      </c>
      <c r="O96" s="2472">
        <f>'[1]Koncern RR '!HO60</f>
        <v>141.70000000000013</v>
      </c>
    </row>
    <row r="97" spans="1:17" x14ac:dyDescent="0.2">
      <c r="A97" s="2460" t="str">
        <f>A37</f>
        <v>Likviditetsreserv, Mkr</v>
      </c>
      <c r="B97" s="2519"/>
      <c r="C97" s="2472">
        <f>'[1]Koncern RR '!HJ17</f>
        <v>196.5</v>
      </c>
      <c r="D97" s="2472">
        <f>'[1]Koncern RR '!HK17</f>
        <v>203</v>
      </c>
      <c r="E97" s="2472">
        <f>'[1]Koncern RR '!HL17</f>
        <v>196.5</v>
      </c>
      <c r="F97" s="2472">
        <f>'[1]Koncern RR '!HM17</f>
        <v>203</v>
      </c>
      <c r="G97" s="2472">
        <f>'[1]Koncern RR '!HN17</f>
        <v>196.5</v>
      </c>
      <c r="H97" s="2472">
        <f>'[1]Koncern RR '!HO17</f>
        <v>134</v>
      </c>
      <c r="I97" s="2524"/>
      <c r="J97" s="2472">
        <f>'[1]Koncern RR '!HJ17</f>
        <v>196.5</v>
      </c>
      <c r="K97" s="2472">
        <f>'[1]Koncern RR '!HK17</f>
        <v>203</v>
      </c>
      <c r="L97" s="2472">
        <f>'[1]Koncern RR '!HL17</f>
        <v>196.5</v>
      </c>
      <c r="M97" s="2472">
        <f>'[1]Koncern RR '!HM17</f>
        <v>203</v>
      </c>
      <c r="N97" s="2472">
        <f>'[1]Koncern RR '!HN17</f>
        <v>196.5</v>
      </c>
      <c r="O97" s="2472">
        <f>'[1]Koncern RR '!HO17</f>
        <v>134</v>
      </c>
    </row>
    <row r="98" spans="1:17" x14ac:dyDescent="0.2">
      <c r="A98" s="2460" t="str">
        <f>A42</f>
        <v>Räntebärande nettoskuld, Mkr</v>
      </c>
      <c r="B98" s="2519"/>
      <c r="C98" s="2472">
        <f>'[1]Koncern RR '!HJ18</f>
        <v>104.1</v>
      </c>
      <c r="D98" s="2472">
        <f>'[1]Koncern RR '!HK18</f>
        <v>116</v>
      </c>
      <c r="E98" s="2472">
        <f>'[1]Koncern RR '!HL18</f>
        <v>104.1</v>
      </c>
      <c r="F98" s="2472">
        <f>'[1]Koncern RR '!HM18</f>
        <v>116</v>
      </c>
      <c r="G98" s="2472">
        <f>'[1]Koncern RR '!HN18</f>
        <v>104.1</v>
      </c>
      <c r="H98" s="2472">
        <f>'[1]Koncern RR '!HO18</f>
        <v>173.8</v>
      </c>
      <c r="I98" s="2524"/>
      <c r="J98" s="2472">
        <f>'[1]Koncern RR '!HJ18</f>
        <v>104.1</v>
      </c>
      <c r="K98" s="2472">
        <f>'[1]Koncern RR '!HK18</f>
        <v>116</v>
      </c>
      <c r="L98" s="2472">
        <f>'[1]Koncern RR '!HL18</f>
        <v>104.1</v>
      </c>
      <c r="M98" s="2472">
        <f>'[1]Koncern RR '!HM18</f>
        <v>116</v>
      </c>
      <c r="N98" s="2472">
        <f>'[1]Koncern RR '!HN18</f>
        <v>104.1</v>
      </c>
      <c r="O98" s="2472">
        <f>'[1]Koncern RR '!HO18</f>
        <v>173.8</v>
      </c>
    </row>
    <row r="99" spans="1:17" x14ac:dyDescent="0.2">
      <c r="A99" s="2460" t="str">
        <f>A48</f>
        <v>Nettoskuld/EBITDA, ggr</v>
      </c>
      <c r="B99" s="2519"/>
      <c r="C99" s="2472">
        <f>'[1]Koncern RR '!HJ19</f>
        <v>0.37019914651493563</v>
      </c>
      <c r="D99" s="2472">
        <f>'[1]Koncern RR '!HK19</f>
        <v>0.46418567426970797</v>
      </c>
      <c r="E99" s="2472">
        <f>'[1]Koncern RR '!HL19</f>
        <v>0.37019914651493563</v>
      </c>
      <c r="F99" s="2472">
        <f>'[1]Koncern RR '!HM19</f>
        <v>0.46418567426970797</v>
      </c>
      <c r="G99" s="2472">
        <f>'[1]Koncern RR '!HN19</f>
        <v>0.37019914651493563</v>
      </c>
      <c r="H99" s="2472">
        <f>'[1]Koncern RR '!HO19</f>
        <v>0.73240623683101524</v>
      </c>
      <c r="I99" s="2524"/>
      <c r="J99" s="2472">
        <f>'[1]Koncern RR '!HJ19</f>
        <v>0.37019914651493563</v>
      </c>
      <c r="K99" s="2472">
        <f>'[1]Koncern RR '!HK19</f>
        <v>0.46418567426970797</v>
      </c>
      <c r="L99" s="2472">
        <f>'[1]Koncern RR '!HL19</f>
        <v>0.37019914651493563</v>
      </c>
      <c r="M99" s="2472">
        <f>'[1]Koncern RR '!HM19</f>
        <v>0.46418567426970797</v>
      </c>
      <c r="N99" s="2472">
        <f>'[1]Koncern RR '!HN19</f>
        <v>0.37019914651493563</v>
      </c>
      <c r="O99" s="2472">
        <f>'[1]Koncern RR '!HO19</f>
        <v>0.73240623683101524</v>
      </c>
    </row>
    <row r="100" spans="1:17" x14ac:dyDescent="0.2">
      <c r="A100" s="2460" t="s">
        <v>938</v>
      </c>
      <c r="B100" s="2519"/>
      <c r="C100" s="2472">
        <f>'Koncern RR '!HJ41</f>
        <v>1561.7767750203129</v>
      </c>
      <c r="D100" s="2472">
        <f>'Koncern RR '!HK41</f>
        <v>1418.9217061328227</v>
      </c>
      <c r="E100" s="2472">
        <f>'Koncern RR '!HL41</f>
        <v>1561.7767750203129</v>
      </c>
      <c r="F100" s="2472">
        <f>'Koncern RR '!HM41</f>
        <v>1418.9217061328227</v>
      </c>
      <c r="G100" s="2472">
        <f>'Koncern RR '!HN41</f>
        <v>1561.7767750203129</v>
      </c>
      <c r="H100" s="2472">
        <f>'Koncern RR '!HO41</f>
        <v>1446.5621087588877</v>
      </c>
      <c r="I100" s="2524"/>
      <c r="J100" s="2472">
        <f>'Koncern RR '!HJ67</f>
        <v>794.7</v>
      </c>
      <c r="K100" s="2472">
        <f>'Koncern RR '!HK67</f>
        <v>681.69999999999993</v>
      </c>
      <c r="L100" s="2472">
        <f>'Koncern RR '!HL67</f>
        <v>794.7</v>
      </c>
      <c r="M100" s="2472">
        <f>'Koncern RR '!HM67</f>
        <v>681.69999999999993</v>
      </c>
      <c r="N100" s="2472">
        <f>'Koncern RR '!HN67</f>
        <v>794.7</v>
      </c>
      <c r="O100" s="2472">
        <f>'Koncern RR '!HO67</f>
        <v>698.8</v>
      </c>
    </row>
    <row r="101" spans="1:17" x14ac:dyDescent="0.2">
      <c r="A101" s="2460" t="str">
        <f>A57</f>
        <v>Summa eget kapital</v>
      </c>
      <c r="B101" s="2519"/>
      <c r="C101" s="2472">
        <f>'[1]Koncern RR '!HJ118</f>
        <v>1588.2314030819521</v>
      </c>
      <c r="D101" s="2472">
        <f>'[1]Koncern RR '!HK118</f>
        <v>1449.1670470743088</v>
      </c>
      <c r="E101" s="2472">
        <f>'[1]Koncern RR '!HL118</f>
        <v>1588.2314030819521</v>
      </c>
      <c r="F101" s="2472">
        <f>'[1]Koncern RR '!HM118</f>
        <v>1449.1670470743088</v>
      </c>
      <c r="G101" s="2472">
        <f>'[1]Koncern RR '!HN118</f>
        <v>1588.2314030819521</v>
      </c>
      <c r="H101" s="2472">
        <f>'[1]Koncern RR '!HO118</f>
        <v>1477.8225599580487</v>
      </c>
      <c r="I101" s="2524"/>
      <c r="J101" s="2472">
        <f>'[1]Koncern RR '!HJ211</f>
        <v>805.5</v>
      </c>
      <c r="K101" s="2472">
        <f>'[1]Koncern RR '!HK211</f>
        <v>696.9</v>
      </c>
      <c r="L101" s="2472">
        <f>'[1]Koncern RR '!HL211</f>
        <v>805.5</v>
      </c>
      <c r="M101" s="2472">
        <f>'[1]Koncern RR '!HM211</f>
        <v>696.9</v>
      </c>
      <c r="N101" s="2472">
        <f>'[1]Koncern RR '!HN211</f>
        <v>805.5</v>
      </c>
      <c r="O101" s="2472">
        <f>'[1]Koncern RR '!HO211</f>
        <v>714.8</v>
      </c>
    </row>
    <row r="102" spans="1:17" x14ac:dyDescent="0.2">
      <c r="A102" s="2460" t="str">
        <f>A58</f>
        <v>Balansomslutning</v>
      </c>
      <c r="B102" s="2519"/>
      <c r="C102" s="2472">
        <f>'[1]Koncern RR '!HJ40</f>
        <v>2464.0078124457832</v>
      </c>
      <c r="D102" s="2472">
        <f>'[1]Koncern RR '!HK40</f>
        <v>2420.739605887039</v>
      </c>
      <c r="E102" s="2472">
        <f>'[1]Koncern RR '!HL40</f>
        <v>2464.0078124457832</v>
      </c>
      <c r="F102" s="2472">
        <f>'[1]Koncern RR '!HM40</f>
        <v>2420.739605887039</v>
      </c>
      <c r="G102" s="2472">
        <f>'[1]Koncern RR '!HN40</f>
        <v>2464.0078124457832</v>
      </c>
      <c r="H102" s="2472">
        <f>'[1]Koncern RR '!HO40</f>
        <v>2361.585591886711</v>
      </c>
      <c r="I102" s="2524"/>
      <c r="J102" s="2472">
        <f>'[1]Koncern RR '!HJ66</f>
        <v>1478.1999999999998</v>
      </c>
      <c r="K102" s="2472">
        <f>'[1]Koncern RR '!HK66</f>
        <v>1473.3</v>
      </c>
      <c r="L102" s="2472">
        <f>'[1]Koncern RR '!HL66</f>
        <v>1478.1999999999998</v>
      </c>
      <c r="M102" s="2472">
        <f>'[1]Koncern RR '!HM66</f>
        <v>1473.3</v>
      </c>
      <c r="N102" s="2472">
        <f>'[1]Koncern RR '!HN66</f>
        <v>1478.1999999999998</v>
      </c>
      <c r="O102" s="2472">
        <f>'[1]Koncern RR '!HO66</f>
        <v>1400.6</v>
      </c>
    </row>
    <row r="103" spans="1:17" x14ac:dyDescent="0.2">
      <c r="A103" s="2460" t="str">
        <f>A54</f>
        <v>Nettoskuldsättningsgrad, ggr</v>
      </c>
      <c r="B103" s="2519"/>
      <c r="C103" s="2472">
        <f>'[1]Koncern RR '!HJ43</f>
        <v>6.5544605022917105E-2</v>
      </c>
      <c r="D103" s="2472">
        <f>'[1]Koncern RR '!HK43</f>
        <v>8.0045982438111479E-2</v>
      </c>
      <c r="E103" s="2472">
        <f>'[1]Koncern RR '!HL43</f>
        <v>6.5544605022917105E-2</v>
      </c>
      <c r="F103" s="2472">
        <f>'[1]Koncern RR '!HM43</f>
        <v>8.0045982438111479E-2</v>
      </c>
      <c r="G103" s="2472">
        <f>'[1]Koncern RR '!HN43</f>
        <v>6.5544605022917105E-2</v>
      </c>
      <c r="H103" s="2472">
        <f>'[1]Koncern RR '!HO43</f>
        <v>0.11760545867220602</v>
      </c>
      <c r="I103" s="2524"/>
      <c r="J103" s="2472">
        <f>'[1]Koncern RR '!HJ69</f>
        <v>0.12923649906890131</v>
      </c>
      <c r="K103" s="2472">
        <f>'[1]Koncern RR '!HK69</f>
        <v>0.16645142775147082</v>
      </c>
      <c r="L103" s="2472">
        <f>'[1]Koncern RR '!HL69</f>
        <v>0.12923649906890131</v>
      </c>
      <c r="M103" s="2472">
        <f>'[1]Koncern RR '!HM69</f>
        <v>0.16645142775147082</v>
      </c>
      <c r="N103" s="2472">
        <f>'[1]Koncern RR '!HN69</f>
        <v>0.12923649906890131</v>
      </c>
      <c r="O103" s="2472">
        <f>'[1]Koncern RR '!HO69</f>
        <v>0.24314493564633466</v>
      </c>
    </row>
    <row r="104" spans="1:17" x14ac:dyDescent="0.2">
      <c r="A104" s="2460" t="str">
        <f>A70</f>
        <v>Andel riskbärande kapital, %</v>
      </c>
      <c r="B104" s="2519"/>
      <c r="C104" s="2472">
        <f>'[1]Koncern RR '!HJ45*100</f>
        <v>76.655918171417881</v>
      </c>
      <c r="D104" s="2472">
        <f>'[1]Koncern RR '!HK45*100</f>
        <v>71.756565706724572</v>
      </c>
      <c r="E104" s="2472">
        <f>'[1]Koncern RR '!HL45*100</f>
        <v>76.655918171417881</v>
      </c>
      <c r="F104" s="2472">
        <f>'[1]Koncern RR '!HM45*100</f>
        <v>71.756565706724572</v>
      </c>
      <c r="G104" s="2472">
        <f>'[1]Koncern RR '!HN45*100</f>
        <v>76.655918171417881</v>
      </c>
      <c r="H104" s="2472">
        <f>'[1]Koncern RR '!HO45*100</f>
        <v>75.054895235477886</v>
      </c>
      <c r="I104" s="2524"/>
      <c r="J104" s="2472">
        <f>'[1]Koncern RR '!HJ71</f>
        <v>61.087809498038162</v>
      </c>
      <c r="K104" s="2472">
        <f>'[1]Koncern RR '!HK71</f>
        <v>53.593972714314809</v>
      </c>
      <c r="L104" s="2472">
        <f>'[1]Koncern RR '!HL71</f>
        <v>61.087809498038162</v>
      </c>
      <c r="M104" s="2472">
        <f>'[1]Koncern RR '!HM71</f>
        <v>53.593972714314809</v>
      </c>
      <c r="N104" s="2472">
        <f>'[1]Koncern RR '!HN71</f>
        <v>61.087809498038162</v>
      </c>
      <c r="O104" s="2472">
        <f>'[1]Koncern RR '!HO71</f>
        <v>57.939454519491647</v>
      </c>
    </row>
    <row r="105" spans="1:17" x14ac:dyDescent="0.2">
      <c r="A105" s="2460" t="str">
        <f>A75</f>
        <v>Räntetäckningsgrad, ggr</v>
      </c>
      <c r="B105" s="2519"/>
      <c r="C105" s="2472">
        <f>'[1]Koncern RR '!HJ46</f>
        <v>27.844270230610942</v>
      </c>
      <c r="D105" s="2472">
        <f>'[1]Koncern RR '!HK46</f>
        <v>9.1143816973213685</v>
      </c>
      <c r="E105" s="2472">
        <f>'[1]Koncern RR '!HL46</f>
        <v>21.001524805811847</v>
      </c>
      <c r="F105" s="2472">
        <f>'[1]Koncern RR '!HM46</f>
        <v>16.828815001304839</v>
      </c>
      <c r="G105" s="2472">
        <f>'[1]Koncern RR '!HN46</f>
        <v>12.140288305899698</v>
      </c>
      <c r="H105" s="2472">
        <f>'[1]Koncern RR '!HO46</f>
        <v>8.1600693862767475</v>
      </c>
      <c r="I105" s="2524"/>
      <c r="J105" s="2472">
        <f>'[1]Koncern RR '!HJ72</f>
        <v>38.615281979823237</v>
      </c>
      <c r="K105" s="2472">
        <f>'[1]Koncern RR '!HK72</f>
        <v>26.816791423202151</v>
      </c>
      <c r="L105" s="2472">
        <f>'[1]Koncern RR '!HL72</f>
        <v>32.551083737051968</v>
      </c>
      <c r="M105" s="2472">
        <f>'[1]Koncern RR '!HM72</f>
        <v>33.779495074684519</v>
      </c>
      <c r="N105" s="2472">
        <f>'[1]Koncern RR '!HN72</f>
        <v>25.071945464499908</v>
      </c>
      <c r="O105" s="2472">
        <f>'[1]Koncern RR '!HO72</f>
        <v>23.902524425178662</v>
      </c>
    </row>
    <row r="106" spans="1:17" x14ac:dyDescent="0.2">
      <c r="A106" s="2460" t="str">
        <f>A64</f>
        <v>Kapitalomsättningshastighet, ggr</v>
      </c>
      <c r="B106" s="2519"/>
      <c r="C106" s="2472">
        <f>'[1]Koncern RR '!HJ44</f>
        <v>1.5188400043349446</v>
      </c>
      <c r="D106" s="2472">
        <f>'[1]Koncern RR '!HK44</f>
        <v>1.6678293278800851</v>
      </c>
      <c r="E106" s="2472">
        <f>'[1]Koncern RR '!HL44</f>
        <v>1.5188400043349446</v>
      </c>
      <c r="F106" s="2472">
        <f>'[1]Koncern RR '!HM44</f>
        <v>1.6678293278800851</v>
      </c>
      <c r="G106" s="2472">
        <f>'[1]Koncern RR '!HN44</f>
        <v>1.3969861857342234</v>
      </c>
      <c r="H106" s="2472">
        <f>'[1]Koncern RR '!HO44</f>
        <v>1.4365514828933987</v>
      </c>
      <c r="I106" s="2524"/>
      <c r="J106" s="2472">
        <f>'[1]Koncern RR '!HJ70</f>
        <v>2.7791078426109834</v>
      </c>
      <c r="K106" s="2472">
        <f>'[1]Koncern RR '!HK70</f>
        <v>3.1777104784978802</v>
      </c>
      <c r="L106" s="2472">
        <f>'[1]Koncern RR '!HL70</f>
        <v>2.7791078426109834</v>
      </c>
      <c r="M106" s="2472">
        <f>'[1]Koncern RR '!HM70</f>
        <v>3.1777104784978802</v>
      </c>
      <c r="N106" s="2472">
        <f>'[1]Koncern RR '!HN70</f>
        <v>2.6046066340034919</v>
      </c>
      <c r="O106" s="2472">
        <f>'[1]Koncern RR '!HO70</f>
        <v>2.6807041767345536</v>
      </c>
      <c r="P106" s="2464"/>
      <c r="Q106" s="2464"/>
    </row>
    <row r="107" spans="1:17" x14ac:dyDescent="0.2">
      <c r="A107" s="2460" t="str">
        <f>A24</f>
        <v>Avkastning på eget kapital, %</v>
      </c>
      <c r="B107" s="2519"/>
      <c r="C107" s="2472">
        <f>'[1]Koncern RR '!FP24*100</f>
        <v>12.784667109893286</v>
      </c>
      <c r="D107" s="2472">
        <f>'[1]Koncern RR '!FQ24*100</f>
        <v>0.30172693623576158</v>
      </c>
      <c r="E107" s="2472">
        <f>'[1]Koncern RR '!FR24*100</f>
        <v>8.4303979897247494</v>
      </c>
      <c r="F107" s="2472">
        <f>'[1]Koncern RR '!FS24*100</f>
        <v>3.5678265332074894</v>
      </c>
      <c r="G107" s="2472">
        <f>'[1]Koncern RR '!FT24*100</f>
        <v>2.7544781234643825</v>
      </c>
      <c r="H107" s="2472">
        <f>'[1]Koncern RR '!FU24*100</f>
        <v>0.19168760931301643</v>
      </c>
      <c r="I107" s="2524">
        <f>'[1]Koncern RR '!FV24*100</f>
        <v>0</v>
      </c>
      <c r="J107" s="2472">
        <f>'[1]Koncern RR '!FW24*100</f>
        <v>36.297640653357568</v>
      </c>
      <c r="K107" s="2472">
        <f>'[1]Koncern RR '!FX24*100</f>
        <v>10.204369274136635</v>
      </c>
      <c r="L107" s="2472">
        <f>'[1]Koncern RR '!FY24*100</f>
        <v>27.363020456488861</v>
      </c>
      <c r="M107" s="2472">
        <f>'[1]Koncern RR '!FZ24*100</f>
        <v>17.940490081680256</v>
      </c>
      <c r="N107" s="2472">
        <f>'[1]Koncern RR '!GA24*100</f>
        <v>16.054313099041561</v>
      </c>
      <c r="O107" s="2472">
        <f>'[1]Koncern RR '!GB24*100</f>
        <v>11.244690806997353</v>
      </c>
    </row>
    <row r="108" spans="1:17" x14ac:dyDescent="0.2">
      <c r="A108" s="2460" t="str">
        <f>A32</f>
        <v>Avkastning på sysselsatt kapital, %</v>
      </c>
      <c r="B108" s="2519"/>
      <c r="C108" s="2472">
        <f>'[1]Koncern RR '!HJ38*100</f>
        <v>15.381987195003205</v>
      </c>
      <c r="D108" s="2472">
        <f>'[1]Koncern RR '!HK38*100</f>
        <v>3.061280109857536</v>
      </c>
      <c r="E108" s="2472">
        <f>'[1]Koncern RR '!HL38*100</f>
        <v>10.568452971351757</v>
      </c>
      <c r="F108" s="2472">
        <f>'[1]Koncern RR '!HM38*100</f>
        <v>6.1039797756234702</v>
      </c>
      <c r="G108" s="2472">
        <f>'[1]Koncern RR '!HN38*100</f>
        <v>5.5906750254244546</v>
      </c>
      <c r="H108" s="2472">
        <f>'[1]Koncern RR '!HO38*100</f>
        <v>3.113027095486216</v>
      </c>
      <c r="I108" s="2524"/>
      <c r="J108" s="2472">
        <f>'[1]Koncern RR '!HJ64*100</f>
        <v>39.082648162912584</v>
      </c>
      <c r="K108" s="2472">
        <f>'[1]Koncern RR '!HK64*100</f>
        <v>17.013118589349045</v>
      </c>
      <c r="L108" s="2472">
        <f>'[1]Koncern RR '!HL64*100</f>
        <v>29.972254819904464</v>
      </c>
      <c r="M108" s="2472">
        <f>'[1]Koncern RR '!HM64*100</f>
        <v>23.344007978195012</v>
      </c>
      <c r="N108" s="2472">
        <f>'[1]Koncern RR '!HN64*100</f>
        <v>21.526494532860308</v>
      </c>
      <c r="O108" s="2472">
        <f>'[1]Koncern RR '!HO64*100</f>
        <v>17.016119074905088</v>
      </c>
    </row>
    <row r="109" spans="1:17" x14ac:dyDescent="0.2">
      <c r="A109" s="2460" t="str">
        <f>A91</f>
        <v>Eget kapital per aktie, kr</v>
      </c>
      <c r="B109" s="2519"/>
      <c r="C109" s="2472">
        <f>'[1]Koncern RR '!FP27</f>
        <v>211.07943979190605</v>
      </c>
      <c r="D109" s="2472">
        <f>'[1]Koncern RR '!FQ27</f>
        <v>191.77209165195603</v>
      </c>
      <c r="E109" s="2472">
        <f>'[1]Koncern RR '!FR27</f>
        <v>211.07943979190605</v>
      </c>
      <c r="F109" s="2472">
        <f>'[1]Koncern RR '!FS27</f>
        <v>191.77209165195603</v>
      </c>
      <c r="G109" s="2472">
        <f>'[1]Koncern RR '!FT27</f>
        <v>211.07943979190605</v>
      </c>
      <c r="H109" s="2472">
        <f>'[1]Koncern RR '!FU27</f>
        <v>195.50778601958208</v>
      </c>
      <c r="I109" s="2524"/>
      <c r="J109" s="2472">
        <f>'[1]Koncern RR '!FW27</f>
        <v>107.40640627111772</v>
      </c>
      <c r="K109" s="2472">
        <f>'[1]Koncern RR '!FX27</f>
        <v>92.134072171915122</v>
      </c>
      <c r="L109" s="2472">
        <f>'[1]Koncern RR '!FY27</f>
        <v>107.40640627111772</v>
      </c>
      <c r="M109" s="2472">
        <f>'[1]Koncern RR '!FZ27</f>
        <v>92.134072171915122</v>
      </c>
      <c r="N109" s="2472">
        <f>'[1]Koncern RR '!GA27</f>
        <v>107.40640627111772</v>
      </c>
      <c r="O109" s="2472">
        <f>'[1]Koncern RR '!GB27</f>
        <v>94.445195296661709</v>
      </c>
    </row>
    <row r="110" spans="1:17" x14ac:dyDescent="0.2">
      <c r="A110" s="2460" t="str">
        <f>A80</f>
        <v>Intäkter per anställd (medelantal), Tkr</v>
      </c>
      <c r="B110" s="2519"/>
      <c r="C110" s="2472">
        <f>'[1]Koncern RR '!HJ22</f>
        <v>1.3748995983935741</v>
      </c>
      <c r="D110" s="2472">
        <f>'[1]Koncern RR '!HK22</f>
        <v>1.3466933867735469</v>
      </c>
      <c r="E110" s="2472">
        <f>'[1]Koncern RR '!HL22</f>
        <v>2.5963891675025073</v>
      </c>
      <c r="F110" s="2472">
        <f>'[1]Koncern RR '!HM22</f>
        <v>2.639034205231388</v>
      </c>
      <c r="G110" s="2472">
        <f>'[1]Koncern RR '!HN22</f>
        <v>4.6111665004985047</v>
      </c>
      <c r="H110" s="2472">
        <f>'[1]Koncern RR '!HO22</f>
        <v>4.6526210683974041</v>
      </c>
      <c r="I110" s="2524"/>
      <c r="J110" s="2472">
        <f>'[1]Koncern RR '!HJ22</f>
        <v>1.3748995983935741</v>
      </c>
      <c r="K110" s="2472">
        <f>'[1]Koncern RR '!HK22</f>
        <v>1.3466933867735469</v>
      </c>
      <c r="L110" s="2472">
        <f>'[1]Koncern RR '!HL22</f>
        <v>2.5963891675025073</v>
      </c>
      <c r="M110" s="2472">
        <f>'[1]Koncern RR '!HM22</f>
        <v>2.639034205231388</v>
      </c>
      <c r="N110" s="2472">
        <f>'[1]Koncern RR '!HN22</f>
        <v>4.6111665004985047</v>
      </c>
      <c r="O110" s="2472">
        <f>'[1]Koncern RR '!HO22</f>
        <v>4.6526210683974041</v>
      </c>
    </row>
    <row r="111" spans="1:17" x14ac:dyDescent="0.2">
      <c r="A111" s="2460"/>
      <c r="B111" s="2519"/>
      <c r="C111" s="2460"/>
      <c r="D111" s="2460"/>
      <c r="E111" s="2460"/>
      <c r="F111" s="2460"/>
      <c r="G111" s="2460"/>
      <c r="H111" s="2460"/>
      <c r="I111" s="2519"/>
      <c r="J111" s="2460"/>
      <c r="K111" s="2460"/>
      <c r="L111" s="2460"/>
      <c r="M111" s="2460"/>
      <c r="N111" s="2460"/>
      <c r="O111" s="2460"/>
    </row>
    <row r="112" spans="1:17" x14ac:dyDescent="0.2">
      <c r="A112" s="2460" t="s">
        <v>181</v>
      </c>
      <c r="B112" s="2519"/>
      <c r="C112" s="2472">
        <f>C93-C12</f>
        <v>0</v>
      </c>
      <c r="D112" s="2472">
        <f t="shared" ref="D112:O112" si="60">D93-D12</f>
        <v>0</v>
      </c>
      <c r="E112" s="2472">
        <f t="shared" si="60"/>
        <v>0</v>
      </c>
      <c r="F112" s="2472">
        <f t="shared" si="60"/>
        <v>0</v>
      </c>
      <c r="G112" s="2472">
        <f t="shared" si="60"/>
        <v>0</v>
      </c>
      <c r="H112" s="2472">
        <f t="shared" si="60"/>
        <v>0</v>
      </c>
      <c r="I112" s="2524">
        <f t="shared" si="60"/>
        <v>0</v>
      </c>
      <c r="J112" s="2472">
        <f t="shared" si="60"/>
        <v>0</v>
      </c>
      <c r="K112" s="2472">
        <f t="shared" si="60"/>
        <v>0</v>
      </c>
      <c r="L112" s="2472">
        <f t="shared" si="60"/>
        <v>0</v>
      </c>
      <c r="M112" s="2472">
        <f t="shared" si="60"/>
        <v>0</v>
      </c>
      <c r="N112" s="2472">
        <f t="shared" si="60"/>
        <v>0</v>
      </c>
      <c r="O112" s="2472">
        <f t="shared" si="60"/>
        <v>0</v>
      </c>
    </row>
    <row r="113" spans="1:15" x14ac:dyDescent="0.2">
      <c r="A113" s="2460" t="s">
        <v>181</v>
      </c>
      <c r="B113" s="2519"/>
      <c r="C113" s="2472">
        <f>C94-C8</f>
        <v>0</v>
      </c>
      <c r="D113" s="2472">
        <f t="shared" ref="D113:O113" si="61">D94-D8</f>
        <v>0</v>
      </c>
      <c r="E113" s="2472">
        <f t="shared" si="61"/>
        <v>0</v>
      </c>
      <c r="F113" s="2472">
        <f t="shared" si="61"/>
        <v>0</v>
      </c>
      <c r="G113" s="2472">
        <f t="shared" si="61"/>
        <v>0</v>
      </c>
      <c r="H113" s="2472">
        <f t="shared" si="61"/>
        <v>0</v>
      </c>
      <c r="I113" s="2524">
        <f t="shared" si="61"/>
        <v>0</v>
      </c>
      <c r="J113" s="2472">
        <f t="shared" si="61"/>
        <v>0</v>
      </c>
      <c r="K113" s="2472">
        <f t="shared" si="61"/>
        <v>0</v>
      </c>
      <c r="L113" s="2472">
        <f t="shared" si="61"/>
        <v>0</v>
      </c>
      <c r="M113" s="2472">
        <f t="shared" si="61"/>
        <v>0</v>
      </c>
      <c r="N113" s="2472">
        <f t="shared" si="61"/>
        <v>0</v>
      </c>
      <c r="O113" s="2472">
        <f t="shared" si="61"/>
        <v>0</v>
      </c>
    </row>
    <row r="114" spans="1:15" x14ac:dyDescent="0.2">
      <c r="A114" s="2460" t="s">
        <v>181</v>
      </c>
      <c r="B114" s="2519"/>
      <c r="C114" s="2472">
        <f>C95-C13</f>
        <v>0</v>
      </c>
      <c r="D114" s="2472">
        <f t="shared" ref="D114:O114" si="62">D95-D13</f>
        <v>0</v>
      </c>
      <c r="E114" s="2472">
        <f t="shared" si="62"/>
        <v>0</v>
      </c>
      <c r="F114" s="2472">
        <f t="shared" si="62"/>
        <v>0</v>
      </c>
      <c r="G114" s="2472">
        <f t="shared" si="62"/>
        <v>0</v>
      </c>
      <c r="H114" s="2472">
        <f t="shared" si="62"/>
        <v>0</v>
      </c>
      <c r="I114" s="2524">
        <f t="shared" si="62"/>
        <v>0</v>
      </c>
      <c r="J114" s="2472">
        <f t="shared" si="62"/>
        <v>0</v>
      </c>
      <c r="K114" s="2472">
        <f t="shared" si="62"/>
        <v>0</v>
      </c>
      <c r="L114" s="2472">
        <f t="shared" si="62"/>
        <v>0</v>
      </c>
      <c r="M114" s="2472">
        <f t="shared" si="62"/>
        <v>0</v>
      </c>
      <c r="N114" s="2472">
        <f t="shared" si="62"/>
        <v>0</v>
      </c>
      <c r="O114" s="2472">
        <f t="shared" si="62"/>
        <v>0</v>
      </c>
    </row>
    <row r="115" spans="1:15" x14ac:dyDescent="0.2">
      <c r="A115" s="2460" t="s">
        <v>181</v>
      </c>
      <c r="B115" s="2519"/>
      <c r="C115" s="2472">
        <f>C96-C17</f>
        <v>0</v>
      </c>
      <c r="D115" s="2472">
        <f t="shared" ref="D115:O115" si="63">D96-D17</f>
        <v>0</v>
      </c>
      <c r="E115" s="2472">
        <f t="shared" si="63"/>
        <v>0</v>
      </c>
      <c r="F115" s="2472">
        <f t="shared" si="63"/>
        <v>0</v>
      </c>
      <c r="G115" s="2472">
        <f t="shared" si="63"/>
        <v>0</v>
      </c>
      <c r="H115" s="2472">
        <f t="shared" si="63"/>
        <v>0</v>
      </c>
      <c r="I115" s="2524">
        <f t="shared" si="63"/>
        <v>0</v>
      </c>
      <c r="J115" s="2472">
        <f t="shared" si="63"/>
        <v>0</v>
      </c>
      <c r="K115" s="2472">
        <f t="shared" si="63"/>
        <v>0</v>
      </c>
      <c r="L115" s="2472">
        <f t="shared" si="63"/>
        <v>0</v>
      </c>
      <c r="M115" s="2472">
        <f t="shared" si="63"/>
        <v>0</v>
      </c>
      <c r="N115" s="2472">
        <f t="shared" si="63"/>
        <v>0</v>
      </c>
      <c r="O115" s="2472">
        <f t="shared" si="63"/>
        <v>0</v>
      </c>
    </row>
    <row r="116" spans="1:15" x14ac:dyDescent="0.2">
      <c r="A116" s="2460" t="s">
        <v>181</v>
      </c>
      <c r="B116" s="2519"/>
      <c r="C116" s="2472">
        <f>C97-C37</f>
        <v>0</v>
      </c>
      <c r="D116" s="2472">
        <f t="shared" ref="D116:O116" si="64">D97-D37</f>
        <v>0</v>
      </c>
      <c r="E116" s="2472">
        <f t="shared" si="64"/>
        <v>0</v>
      </c>
      <c r="F116" s="2472">
        <f t="shared" si="64"/>
        <v>0</v>
      </c>
      <c r="G116" s="2472">
        <f t="shared" si="64"/>
        <v>0</v>
      </c>
      <c r="H116" s="2472">
        <f t="shared" si="64"/>
        <v>0</v>
      </c>
      <c r="I116" s="2524">
        <f t="shared" si="64"/>
        <v>0</v>
      </c>
      <c r="J116" s="2472">
        <f t="shared" si="64"/>
        <v>0</v>
      </c>
      <c r="K116" s="2472">
        <f t="shared" si="64"/>
        <v>0</v>
      </c>
      <c r="L116" s="2472">
        <f t="shared" si="64"/>
        <v>0</v>
      </c>
      <c r="M116" s="2472">
        <f t="shared" si="64"/>
        <v>0</v>
      </c>
      <c r="N116" s="2472">
        <f t="shared" si="64"/>
        <v>0</v>
      </c>
      <c r="O116" s="2472">
        <f t="shared" si="64"/>
        <v>0</v>
      </c>
    </row>
    <row r="117" spans="1:15" x14ac:dyDescent="0.2">
      <c r="A117" s="2460" t="s">
        <v>181</v>
      </c>
      <c r="B117" s="2519"/>
      <c r="C117" s="2472">
        <f>C98-C42</f>
        <v>0</v>
      </c>
      <c r="D117" s="2472">
        <f t="shared" ref="D117:O117" si="65">D98-D42</f>
        <v>0</v>
      </c>
      <c r="E117" s="2472">
        <f t="shared" si="65"/>
        <v>0</v>
      </c>
      <c r="F117" s="2472">
        <f t="shared" si="65"/>
        <v>0</v>
      </c>
      <c r="G117" s="2472">
        <f t="shared" si="65"/>
        <v>0</v>
      </c>
      <c r="H117" s="2472">
        <f t="shared" si="65"/>
        <v>0</v>
      </c>
      <c r="I117" s="2524">
        <f t="shared" si="65"/>
        <v>0</v>
      </c>
      <c r="J117" s="2472">
        <f t="shared" si="65"/>
        <v>0</v>
      </c>
      <c r="K117" s="2472">
        <f t="shared" si="65"/>
        <v>0</v>
      </c>
      <c r="L117" s="2472">
        <f t="shared" si="65"/>
        <v>0</v>
      </c>
      <c r="M117" s="2472">
        <f t="shared" si="65"/>
        <v>0</v>
      </c>
      <c r="N117" s="2472">
        <f t="shared" si="65"/>
        <v>0</v>
      </c>
      <c r="O117" s="2472">
        <f t="shared" si="65"/>
        <v>0</v>
      </c>
    </row>
    <row r="118" spans="1:15" x14ac:dyDescent="0.2">
      <c r="A118" s="2460" t="s">
        <v>181</v>
      </c>
      <c r="B118" s="2519"/>
      <c r="C118" s="2472">
        <f>C99-C48</f>
        <v>0</v>
      </c>
      <c r="D118" s="2472">
        <f t="shared" ref="D118:O118" si="66">D99-D48</f>
        <v>0</v>
      </c>
      <c r="E118" s="2472">
        <f t="shared" si="66"/>
        <v>0</v>
      </c>
      <c r="F118" s="2472">
        <f t="shared" si="66"/>
        <v>0</v>
      </c>
      <c r="G118" s="2472">
        <f t="shared" si="66"/>
        <v>0</v>
      </c>
      <c r="H118" s="2472">
        <f t="shared" si="66"/>
        <v>0</v>
      </c>
      <c r="I118" s="2524">
        <f t="shared" si="66"/>
        <v>0</v>
      </c>
      <c r="J118" s="2472">
        <f t="shared" si="66"/>
        <v>0</v>
      </c>
      <c r="K118" s="2472">
        <f t="shared" si="66"/>
        <v>0</v>
      </c>
      <c r="L118" s="2472">
        <f t="shared" si="66"/>
        <v>0</v>
      </c>
      <c r="M118" s="2472">
        <f t="shared" si="66"/>
        <v>0</v>
      </c>
      <c r="N118" s="2472">
        <f t="shared" si="66"/>
        <v>0</v>
      </c>
      <c r="O118" s="2472">
        <f t="shared" si="66"/>
        <v>0</v>
      </c>
    </row>
    <row r="119" spans="1:15" x14ac:dyDescent="0.2">
      <c r="A119" s="2460" t="s">
        <v>181</v>
      </c>
      <c r="B119" s="2519"/>
      <c r="C119" s="2472">
        <f>C101-C57</f>
        <v>0</v>
      </c>
      <c r="D119" s="2472">
        <f t="shared" ref="D119:O119" si="67">D101-D57</f>
        <v>0</v>
      </c>
      <c r="E119" s="2472">
        <f t="shared" si="67"/>
        <v>0</v>
      </c>
      <c r="F119" s="2472">
        <f t="shared" si="67"/>
        <v>0</v>
      </c>
      <c r="G119" s="2472">
        <f t="shared" si="67"/>
        <v>0</v>
      </c>
      <c r="H119" s="2472">
        <f t="shared" si="67"/>
        <v>0</v>
      </c>
      <c r="I119" s="2524">
        <f t="shared" si="67"/>
        <v>0</v>
      </c>
      <c r="J119" s="2472">
        <f t="shared" si="67"/>
        <v>0</v>
      </c>
      <c r="K119" s="2472">
        <f t="shared" si="67"/>
        <v>0</v>
      </c>
      <c r="L119" s="2472">
        <f t="shared" si="67"/>
        <v>0</v>
      </c>
      <c r="M119" s="2472">
        <f t="shared" si="67"/>
        <v>0</v>
      </c>
      <c r="N119" s="2472">
        <f t="shared" si="67"/>
        <v>0</v>
      </c>
      <c r="O119" s="2472">
        <f t="shared" si="67"/>
        <v>0</v>
      </c>
    </row>
    <row r="120" spans="1:15" x14ac:dyDescent="0.2">
      <c r="A120" s="2460" t="s">
        <v>181</v>
      </c>
      <c r="B120" s="2519"/>
      <c r="C120" s="2472">
        <f>C102-C58</f>
        <v>0</v>
      </c>
      <c r="D120" s="2472">
        <f t="shared" ref="D120:O120" si="68">D102-D58</f>
        <v>0</v>
      </c>
      <c r="E120" s="2472">
        <f t="shared" si="68"/>
        <v>0</v>
      </c>
      <c r="F120" s="2472">
        <f t="shared" si="68"/>
        <v>0</v>
      </c>
      <c r="G120" s="2472">
        <f t="shared" si="68"/>
        <v>0</v>
      </c>
      <c r="H120" s="2472">
        <f t="shared" si="68"/>
        <v>0</v>
      </c>
      <c r="I120" s="2524">
        <f t="shared" si="68"/>
        <v>0</v>
      </c>
      <c r="J120" s="2472">
        <f t="shared" si="68"/>
        <v>0</v>
      </c>
      <c r="K120" s="2472">
        <f t="shared" si="68"/>
        <v>0</v>
      </c>
      <c r="L120" s="2472">
        <f t="shared" si="68"/>
        <v>0</v>
      </c>
      <c r="M120" s="2472">
        <f t="shared" si="68"/>
        <v>0</v>
      </c>
      <c r="N120" s="2472">
        <f t="shared" si="68"/>
        <v>0</v>
      </c>
      <c r="O120" s="2472">
        <f t="shared" si="68"/>
        <v>0</v>
      </c>
    </row>
    <row r="121" spans="1:15" x14ac:dyDescent="0.2">
      <c r="A121" s="2460" t="s">
        <v>188</v>
      </c>
      <c r="B121" s="2519"/>
      <c r="C121" s="2472">
        <f>C103-C54</f>
        <v>0</v>
      </c>
      <c r="D121" s="2472">
        <f t="shared" ref="D121:O121" si="69">D103-D54</f>
        <v>0</v>
      </c>
      <c r="E121" s="2472">
        <f t="shared" si="69"/>
        <v>0</v>
      </c>
      <c r="F121" s="2472">
        <f t="shared" si="69"/>
        <v>0</v>
      </c>
      <c r="G121" s="2472">
        <f t="shared" si="69"/>
        <v>0</v>
      </c>
      <c r="H121" s="2472">
        <f t="shared" si="69"/>
        <v>0</v>
      </c>
      <c r="I121" s="2524">
        <f t="shared" si="69"/>
        <v>0</v>
      </c>
      <c r="J121" s="2472">
        <f t="shared" si="69"/>
        <v>0</v>
      </c>
      <c r="K121" s="2472">
        <f t="shared" si="69"/>
        <v>0</v>
      </c>
      <c r="L121" s="2472">
        <f t="shared" si="69"/>
        <v>0</v>
      </c>
      <c r="M121" s="2472">
        <f t="shared" si="69"/>
        <v>0</v>
      </c>
      <c r="N121" s="2472">
        <f t="shared" si="69"/>
        <v>0</v>
      </c>
      <c r="O121" s="2472">
        <f t="shared" si="69"/>
        <v>0</v>
      </c>
    </row>
    <row r="122" spans="1:15" x14ac:dyDescent="0.2">
      <c r="A122" s="2460" t="s">
        <v>188</v>
      </c>
      <c r="B122" s="2519"/>
      <c r="C122" s="2472">
        <f>C104-C70</f>
        <v>0</v>
      </c>
      <c r="D122" s="2472">
        <f t="shared" ref="D122:O122" si="70">D104-D70</f>
        <v>0</v>
      </c>
      <c r="E122" s="2472">
        <f t="shared" si="70"/>
        <v>0</v>
      </c>
      <c r="F122" s="2472">
        <f t="shared" si="70"/>
        <v>0</v>
      </c>
      <c r="G122" s="2472">
        <f t="shared" si="70"/>
        <v>0</v>
      </c>
      <c r="H122" s="2472">
        <f t="shared" si="70"/>
        <v>0</v>
      </c>
      <c r="I122" s="2524">
        <f t="shared" si="70"/>
        <v>0</v>
      </c>
      <c r="J122" s="2472">
        <f t="shared" si="70"/>
        <v>0</v>
      </c>
      <c r="K122" s="2472">
        <f t="shared" si="70"/>
        <v>0</v>
      </c>
      <c r="L122" s="2472">
        <f t="shared" si="70"/>
        <v>0</v>
      </c>
      <c r="M122" s="2472">
        <f t="shared" si="70"/>
        <v>0</v>
      </c>
      <c r="N122" s="2472">
        <f t="shared" si="70"/>
        <v>0</v>
      </c>
      <c r="O122" s="2472">
        <f t="shared" si="70"/>
        <v>0</v>
      </c>
    </row>
    <row r="123" spans="1:15" x14ac:dyDescent="0.2">
      <c r="A123" s="2460" t="s">
        <v>188</v>
      </c>
      <c r="B123" s="2519"/>
      <c r="C123" s="2472">
        <f>C105-C75</f>
        <v>0</v>
      </c>
      <c r="D123" s="2472">
        <f t="shared" ref="D123:O123" si="71">D105-D75</f>
        <v>0</v>
      </c>
      <c r="E123" s="2472">
        <f t="shared" si="71"/>
        <v>0</v>
      </c>
      <c r="F123" s="2472">
        <f t="shared" si="71"/>
        <v>0</v>
      </c>
      <c r="G123" s="2472">
        <f t="shared" si="71"/>
        <v>0</v>
      </c>
      <c r="H123" s="2472">
        <f t="shared" si="71"/>
        <v>0</v>
      </c>
      <c r="I123" s="2524">
        <f t="shared" si="71"/>
        <v>0</v>
      </c>
      <c r="J123" s="2472">
        <f t="shared" si="71"/>
        <v>0</v>
      </c>
      <c r="K123" s="2472">
        <f t="shared" si="71"/>
        <v>0</v>
      </c>
      <c r="L123" s="2472">
        <f t="shared" si="71"/>
        <v>0</v>
      </c>
      <c r="M123" s="2472">
        <f t="shared" si="71"/>
        <v>0</v>
      </c>
      <c r="N123" s="2472">
        <f t="shared" si="71"/>
        <v>0</v>
      </c>
      <c r="O123" s="2472">
        <f t="shared" si="71"/>
        <v>0</v>
      </c>
    </row>
    <row r="124" spans="1:15" x14ac:dyDescent="0.2">
      <c r="A124" s="2460" t="s">
        <v>188</v>
      </c>
      <c r="B124" s="2519"/>
      <c r="C124" s="2472">
        <f>C106-C64</f>
        <v>-7.5656791454288275E-3</v>
      </c>
      <c r="D124" s="2472">
        <f t="shared" ref="D124:O124" si="72">D106-D64</f>
        <v>2.4315217436348346E-2</v>
      </c>
      <c r="E124" s="2472">
        <f t="shared" si="72"/>
        <v>0</v>
      </c>
      <c r="F124" s="2472">
        <f t="shared" si="72"/>
        <v>0</v>
      </c>
      <c r="G124" s="2472">
        <f t="shared" si="72"/>
        <v>0</v>
      </c>
      <c r="H124" s="2472">
        <f t="shared" si="72"/>
        <v>0</v>
      </c>
      <c r="I124" s="2524">
        <f t="shared" si="72"/>
        <v>0</v>
      </c>
      <c r="J124" s="2472">
        <f t="shared" si="72"/>
        <v>-1.7413520755300116E-2</v>
      </c>
      <c r="K124" s="2472">
        <f t="shared" si="72"/>
        <v>7.3331780273028002E-2</v>
      </c>
      <c r="L124" s="2472">
        <f t="shared" si="72"/>
        <v>0</v>
      </c>
      <c r="M124" s="2472">
        <f t="shared" si="72"/>
        <v>0</v>
      </c>
      <c r="N124" s="2472">
        <f t="shared" si="72"/>
        <v>0</v>
      </c>
      <c r="O124" s="2472">
        <f t="shared" si="72"/>
        <v>0</v>
      </c>
    </row>
    <row r="125" spans="1:15" x14ac:dyDescent="0.2">
      <c r="A125" s="2460" t="s">
        <v>181</v>
      </c>
      <c r="B125" s="2519"/>
      <c r="C125" s="2472">
        <f>C107-C24</f>
        <v>0</v>
      </c>
      <c r="D125" s="2472">
        <f t="shared" ref="D125:O125" si="73">D107-D24</f>
        <v>0</v>
      </c>
      <c r="E125" s="2472">
        <f t="shared" si="73"/>
        <v>0</v>
      </c>
      <c r="F125" s="2472">
        <f t="shared" si="73"/>
        <v>0</v>
      </c>
      <c r="G125" s="2472">
        <f t="shared" si="73"/>
        <v>0</v>
      </c>
      <c r="H125" s="2472">
        <f t="shared" si="73"/>
        <v>0</v>
      </c>
      <c r="I125" s="2524">
        <f t="shared" si="73"/>
        <v>0</v>
      </c>
      <c r="J125" s="2472">
        <f t="shared" si="73"/>
        <v>0</v>
      </c>
      <c r="K125" s="2472">
        <f t="shared" si="73"/>
        <v>0</v>
      </c>
      <c r="L125" s="2472">
        <f t="shared" si="73"/>
        <v>0</v>
      </c>
      <c r="M125" s="2472">
        <f t="shared" si="73"/>
        <v>0</v>
      </c>
      <c r="N125" s="2472">
        <f t="shared" si="73"/>
        <v>0</v>
      </c>
      <c r="O125" s="2472">
        <f t="shared" si="73"/>
        <v>0</v>
      </c>
    </row>
    <row r="126" spans="1:15" x14ac:dyDescent="0.2">
      <c r="A126" s="2460" t="s">
        <v>181</v>
      </c>
      <c r="B126" s="2519"/>
      <c r="C126" s="2472">
        <f>C108-C32</f>
        <v>0</v>
      </c>
      <c r="D126" s="2472">
        <f t="shared" ref="D126:O126" si="74">D108-D32</f>
        <v>0</v>
      </c>
      <c r="E126" s="2472">
        <f t="shared" si="74"/>
        <v>0</v>
      </c>
      <c r="F126" s="2472">
        <f t="shared" si="74"/>
        <v>0</v>
      </c>
      <c r="G126" s="2472">
        <f t="shared" si="74"/>
        <v>0</v>
      </c>
      <c r="H126" s="2472">
        <f t="shared" si="74"/>
        <v>0</v>
      </c>
      <c r="I126" s="2524">
        <f t="shared" si="74"/>
        <v>0</v>
      </c>
      <c r="J126" s="2472">
        <f t="shared" si="74"/>
        <v>0</v>
      </c>
      <c r="K126" s="2472">
        <f t="shared" si="74"/>
        <v>0</v>
      </c>
      <c r="L126" s="2472">
        <f t="shared" si="74"/>
        <v>0</v>
      </c>
      <c r="M126" s="2472">
        <f t="shared" si="74"/>
        <v>0</v>
      </c>
      <c r="N126" s="2472">
        <f t="shared" si="74"/>
        <v>0</v>
      </c>
      <c r="O126" s="2472">
        <f t="shared" si="74"/>
        <v>0</v>
      </c>
    </row>
    <row r="127" spans="1:15" x14ac:dyDescent="0.2">
      <c r="A127" s="2460" t="s">
        <v>181</v>
      </c>
      <c r="B127" s="2519"/>
      <c r="C127" s="2472">
        <f>C109-C91</f>
        <v>0</v>
      </c>
      <c r="D127" s="2472">
        <f t="shared" ref="D127:O127" si="75">D109-D91</f>
        <v>0</v>
      </c>
      <c r="E127" s="2472">
        <f t="shared" si="75"/>
        <v>0</v>
      </c>
      <c r="F127" s="2472">
        <f t="shared" si="75"/>
        <v>0</v>
      </c>
      <c r="G127" s="2472">
        <f t="shared" si="75"/>
        <v>0</v>
      </c>
      <c r="H127" s="2472">
        <f t="shared" si="75"/>
        <v>0</v>
      </c>
      <c r="I127" s="2524">
        <f t="shared" si="75"/>
        <v>0</v>
      </c>
      <c r="J127" s="2472">
        <f t="shared" si="75"/>
        <v>0</v>
      </c>
      <c r="K127" s="2472">
        <f t="shared" si="75"/>
        <v>0</v>
      </c>
      <c r="L127" s="2472">
        <f t="shared" si="75"/>
        <v>0</v>
      </c>
      <c r="M127" s="2472">
        <f t="shared" si="75"/>
        <v>0</v>
      </c>
      <c r="N127" s="2472">
        <f t="shared" si="75"/>
        <v>0</v>
      </c>
      <c r="O127" s="2472">
        <f t="shared" si="75"/>
        <v>0</v>
      </c>
    </row>
    <row r="128" spans="1:15" x14ac:dyDescent="0.2">
      <c r="A128" s="2460" t="s">
        <v>181</v>
      </c>
      <c r="B128" s="2519"/>
      <c r="C128" s="2472">
        <f>C110-C80</f>
        <v>0</v>
      </c>
      <c r="D128" s="2472">
        <f t="shared" ref="D128:O128" si="76">D110-D80</f>
        <v>0</v>
      </c>
      <c r="E128" s="2472">
        <f t="shared" si="76"/>
        <v>0</v>
      </c>
      <c r="F128" s="2472">
        <f t="shared" si="76"/>
        <v>0</v>
      </c>
      <c r="G128" s="2472">
        <f t="shared" si="76"/>
        <v>-2.7750249752247491E-2</v>
      </c>
      <c r="H128" s="2472">
        <f t="shared" si="76"/>
        <v>-2.8041915028010678E-2</v>
      </c>
      <c r="I128" s="2524">
        <f t="shared" si="76"/>
        <v>0</v>
      </c>
      <c r="J128" s="2472">
        <f t="shared" si="76"/>
        <v>0</v>
      </c>
      <c r="K128" s="2472">
        <f t="shared" si="76"/>
        <v>0</v>
      </c>
      <c r="L128" s="2472">
        <f t="shared" si="76"/>
        <v>0</v>
      </c>
      <c r="M128" s="2472">
        <f t="shared" si="76"/>
        <v>0</v>
      </c>
      <c r="N128" s="2472">
        <f t="shared" si="76"/>
        <v>-2.7750249752247491E-2</v>
      </c>
      <c r="O128" s="2472">
        <f t="shared" si="76"/>
        <v>-2.8041915028010678E-2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087F9-C8A3-4C4C-8741-087310628045}">
  <sheetPr>
    <tabColor rgb="FFFFFF00"/>
  </sheetPr>
  <dimension ref="C2:S83"/>
  <sheetViews>
    <sheetView workbookViewId="0"/>
    <sheetView workbookViewId="1"/>
  </sheetViews>
  <sheetFormatPr defaultColWidth="8.85546875" defaultRowHeight="11.25" x14ac:dyDescent="0.2"/>
  <cols>
    <col min="1" max="1" width="3.42578125" style="885" customWidth="1"/>
    <col min="2" max="2" width="9.5703125" style="885" customWidth="1"/>
    <col min="3" max="3" width="6" style="885" customWidth="1"/>
    <col min="4" max="4" width="3" style="886" bestFit="1" customWidth="1"/>
    <col min="5" max="5" width="9.7109375" style="886" customWidth="1"/>
    <col min="6" max="6" width="3" style="886" customWidth="1"/>
    <col min="7" max="7" width="8.85546875" style="885" bestFit="1" customWidth="1"/>
    <col min="8" max="8" width="3" style="885" customWidth="1"/>
    <col min="9" max="9" width="34.42578125" style="885" customWidth="1"/>
    <col min="10" max="16384" width="8.85546875" style="885"/>
  </cols>
  <sheetData>
    <row r="2" spans="3:19" ht="18" x14ac:dyDescent="0.25">
      <c r="C2" s="245" t="s">
        <v>37</v>
      </c>
      <c r="D2" s="1295"/>
      <c r="E2" s="1295"/>
      <c r="F2" s="1295"/>
      <c r="G2" s="1295"/>
      <c r="H2" s="1295"/>
      <c r="I2" s="1295"/>
      <c r="J2" s="1295"/>
      <c r="K2" s="1295"/>
      <c r="L2" s="1295"/>
      <c r="M2" s="1295"/>
      <c r="N2" s="1295"/>
      <c r="O2" s="1295"/>
      <c r="P2" s="1295"/>
      <c r="Q2" s="1295"/>
      <c r="R2" s="1295"/>
      <c r="S2" s="1295"/>
    </row>
    <row r="3" spans="3:19" x14ac:dyDescent="0.2">
      <c r="D3" s="885"/>
      <c r="E3" s="885"/>
      <c r="F3" s="885"/>
    </row>
    <row r="4" spans="3:19" x14ac:dyDescent="0.2">
      <c r="C4" s="885" t="s">
        <v>38</v>
      </c>
      <c r="D4" s="885"/>
      <c r="E4" s="885"/>
      <c r="F4" s="885"/>
    </row>
    <row r="5" spans="3:19" x14ac:dyDescent="0.2">
      <c r="D5" s="885"/>
      <c r="E5" s="885"/>
      <c r="F5" s="885"/>
    </row>
    <row r="6" spans="3:19" x14ac:dyDescent="0.2">
      <c r="D6" s="885"/>
      <c r="E6" s="1360" t="s">
        <v>39</v>
      </c>
      <c r="G6" s="1360" t="s">
        <v>40</v>
      </c>
      <c r="I6" s="1360" t="s">
        <v>41</v>
      </c>
      <c r="J6" s="1360"/>
      <c r="K6" s="1360"/>
      <c r="L6" s="1360"/>
      <c r="M6" s="1360"/>
      <c r="N6" s="1360"/>
      <c r="O6" s="1360"/>
      <c r="P6" s="1360"/>
      <c r="Q6" s="1360"/>
      <c r="R6" s="1360"/>
      <c r="S6" s="1360"/>
    </row>
    <row r="7" spans="3:19" x14ac:dyDescent="0.2">
      <c r="D7" s="885"/>
      <c r="E7" s="885"/>
      <c r="G7" s="886"/>
      <c r="I7" s="886"/>
    </row>
    <row r="8" spans="3:19" x14ac:dyDescent="0.2">
      <c r="D8" s="885"/>
      <c r="E8" s="886" t="s">
        <v>42</v>
      </c>
      <c r="G8" s="885" t="s">
        <v>43</v>
      </c>
      <c r="I8" s="885" t="s">
        <v>44</v>
      </c>
      <c r="J8" s="1586" t="s">
        <v>45</v>
      </c>
    </row>
    <row r="9" spans="3:19" x14ac:dyDescent="0.2">
      <c r="D9" s="885"/>
      <c r="J9" s="1586" t="s">
        <v>46</v>
      </c>
    </row>
    <row r="10" spans="3:19" x14ac:dyDescent="0.2">
      <c r="D10" s="885"/>
      <c r="J10" s="1587" t="s">
        <v>47</v>
      </c>
    </row>
    <row r="11" spans="3:19" x14ac:dyDescent="0.2">
      <c r="D11" s="885"/>
      <c r="J11" s="1587" t="s">
        <v>48</v>
      </c>
    </row>
    <row r="12" spans="3:19" x14ac:dyDescent="0.2">
      <c r="D12" s="885"/>
    </row>
    <row r="13" spans="3:19" x14ac:dyDescent="0.2">
      <c r="D13" s="885"/>
      <c r="G13" s="885" t="s">
        <v>49</v>
      </c>
      <c r="I13" s="885" t="s">
        <v>50</v>
      </c>
      <c r="J13" s="1587" t="s">
        <v>51</v>
      </c>
    </row>
    <row r="14" spans="3:19" x14ac:dyDescent="0.2">
      <c r="D14" s="885"/>
      <c r="H14" s="886"/>
      <c r="J14" s="1587" t="s">
        <v>52</v>
      </c>
    </row>
    <row r="15" spans="3:19" x14ac:dyDescent="0.2">
      <c r="D15" s="885"/>
      <c r="H15" s="886"/>
    </row>
    <row r="16" spans="3:19" x14ac:dyDescent="0.2">
      <c r="D16" s="885"/>
      <c r="E16" s="886" t="s">
        <v>53</v>
      </c>
      <c r="F16" s="1306"/>
      <c r="G16" s="885" t="s">
        <v>54</v>
      </c>
      <c r="I16" s="885" t="s">
        <v>55</v>
      </c>
      <c r="J16" s="1587" t="s">
        <v>742</v>
      </c>
    </row>
    <row r="17" spans="4:10" x14ac:dyDescent="0.2">
      <c r="D17" s="885"/>
      <c r="F17" s="885"/>
      <c r="J17" s="1586" t="s">
        <v>56</v>
      </c>
    </row>
    <row r="18" spans="4:10" x14ac:dyDescent="0.2">
      <c r="D18" s="885"/>
      <c r="F18" s="885"/>
      <c r="J18" s="1586" t="s">
        <v>57</v>
      </c>
    </row>
    <row r="19" spans="4:10" x14ac:dyDescent="0.2">
      <c r="D19" s="885"/>
      <c r="F19" s="885"/>
      <c r="G19" s="885" t="s">
        <v>58</v>
      </c>
      <c r="I19" s="885" t="s">
        <v>59</v>
      </c>
      <c r="J19" s="1587" t="s">
        <v>60</v>
      </c>
    </row>
    <row r="20" spans="4:10" x14ac:dyDescent="0.2">
      <c r="D20" s="885"/>
      <c r="F20" s="885"/>
      <c r="J20" s="1586" t="s">
        <v>812</v>
      </c>
    </row>
    <row r="21" spans="4:10" x14ac:dyDescent="0.2">
      <c r="D21" s="885"/>
      <c r="F21" s="885"/>
      <c r="G21" s="885" t="s">
        <v>61</v>
      </c>
      <c r="I21" s="885" t="s">
        <v>62</v>
      </c>
      <c r="J21" s="1587" t="s">
        <v>60</v>
      </c>
    </row>
    <row r="22" spans="4:10" x14ac:dyDescent="0.2">
      <c r="D22" s="885"/>
      <c r="F22" s="885"/>
    </row>
    <row r="23" spans="4:10" x14ac:dyDescent="0.2">
      <c r="D23" s="885"/>
      <c r="F23" s="885"/>
      <c r="G23" s="885" t="s">
        <v>49</v>
      </c>
      <c r="I23" s="885" t="s">
        <v>63</v>
      </c>
      <c r="J23" s="1587" t="s">
        <v>813</v>
      </c>
    </row>
    <row r="24" spans="4:10" x14ac:dyDescent="0.2">
      <c r="D24" s="885"/>
      <c r="F24" s="885"/>
      <c r="I24" s="885" t="s">
        <v>64</v>
      </c>
      <c r="J24" s="1587" t="s">
        <v>814</v>
      </c>
    </row>
    <row r="25" spans="4:10" x14ac:dyDescent="0.2">
      <c r="D25" s="885"/>
      <c r="F25" s="885"/>
      <c r="I25" s="885" t="s">
        <v>65</v>
      </c>
      <c r="J25" s="1587" t="s">
        <v>66</v>
      </c>
    </row>
    <row r="26" spans="4:10" x14ac:dyDescent="0.2">
      <c r="D26" s="885"/>
      <c r="F26" s="885"/>
      <c r="I26" s="885" t="s">
        <v>67</v>
      </c>
      <c r="J26" s="1587" t="s">
        <v>68</v>
      </c>
    </row>
    <row r="27" spans="4:10" x14ac:dyDescent="0.2">
      <c r="D27" s="885"/>
      <c r="F27" s="885"/>
    </row>
    <row r="28" spans="4:10" x14ac:dyDescent="0.2">
      <c r="D28" s="885"/>
      <c r="F28" s="885"/>
      <c r="G28" s="885" t="s">
        <v>69</v>
      </c>
      <c r="I28" s="885" t="s">
        <v>70</v>
      </c>
      <c r="J28" s="1610" t="s">
        <v>71</v>
      </c>
    </row>
    <row r="29" spans="4:10" x14ac:dyDescent="0.2">
      <c r="D29" s="885"/>
      <c r="F29" s="885"/>
      <c r="I29" s="885" t="s">
        <v>74</v>
      </c>
      <c r="J29" s="1587" t="s">
        <v>75</v>
      </c>
    </row>
    <row r="30" spans="4:10" x14ac:dyDescent="0.2">
      <c r="D30" s="885"/>
      <c r="F30" s="885"/>
      <c r="I30" s="885" t="s">
        <v>65</v>
      </c>
      <c r="J30" s="1587" t="s">
        <v>72</v>
      </c>
    </row>
    <row r="31" spans="4:10" x14ac:dyDescent="0.2">
      <c r="D31" s="885"/>
      <c r="F31" s="885"/>
      <c r="I31" s="885" t="s">
        <v>67</v>
      </c>
      <c r="J31" s="1611" t="s">
        <v>73</v>
      </c>
    </row>
    <row r="32" spans="4:10" x14ac:dyDescent="0.2">
      <c r="D32" s="885"/>
      <c r="F32" s="885"/>
    </row>
    <row r="33" spans="4:10" x14ac:dyDescent="0.2">
      <c r="D33" s="885"/>
      <c r="F33" s="885"/>
      <c r="I33" s="885" t="s">
        <v>76</v>
      </c>
      <c r="J33" s="1587" t="s">
        <v>816</v>
      </c>
    </row>
    <row r="34" spans="4:10" x14ac:dyDescent="0.2">
      <c r="D34" s="885"/>
      <c r="F34" s="885"/>
      <c r="I34" s="885" t="s">
        <v>77</v>
      </c>
      <c r="J34" s="1587" t="s">
        <v>78</v>
      </c>
    </row>
    <row r="35" spans="4:10" x14ac:dyDescent="0.2">
      <c r="D35" s="885"/>
      <c r="F35" s="885"/>
    </row>
    <row r="36" spans="4:10" x14ac:dyDescent="0.2">
      <c r="D36" s="885"/>
      <c r="F36" s="885"/>
      <c r="G36" s="885" t="s">
        <v>817</v>
      </c>
      <c r="I36" s="885" t="s">
        <v>819</v>
      </c>
      <c r="J36" s="885" t="s">
        <v>820</v>
      </c>
    </row>
    <row r="37" spans="4:10" x14ac:dyDescent="0.2">
      <c r="D37" s="885"/>
      <c r="F37" s="885"/>
    </row>
    <row r="38" spans="4:10" x14ac:dyDescent="0.2">
      <c r="D38" s="885"/>
      <c r="F38" s="885"/>
      <c r="G38" s="885" t="s">
        <v>79</v>
      </c>
      <c r="I38" s="885" t="s">
        <v>80</v>
      </c>
      <c r="J38" s="1587" t="s">
        <v>81</v>
      </c>
    </row>
    <row r="39" spans="4:10" x14ac:dyDescent="0.2">
      <c r="D39" s="885"/>
      <c r="F39" s="885"/>
      <c r="J39" s="1587" t="s">
        <v>821</v>
      </c>
    </row>
    <row r="40" spans="4:10" x14ac:dyDescent="0.2">
      <c r="D40" s="885"/>
      <c r="F40" s="885"/>
      <c r="G40" s="885" t="s">
        <v>82</v>
      </c>
      <c r="I40" s="885" t="s">
        <v>80</v>
      </c>
      <c r="J40" s="1587" t="s">
        <v>822</v>
      </c>
    </row>
    <row r="41" spans="4:10" x14ac:dyDescent="0.2">
      <c r="D41" s="885"/>
      <c r="F41" s="885"/>
      <c r="G41" s="885" t="s">
        <v>83</v>
      </c>
      <c r="I41" s="885" t="s">
        <v>84</v>
      </c>
      <c r="J41" s="1452" t="s">
        <v>85</v>
      </c>
    </row>
    <row r="42" spans="4:10" x14ac:dyDescent="0.2">
      <c r="D42" s="885"/>
      <c r="F42" s="885"/>
      <c r="G42" s="885" t="s">
        <v>86</v>
      </c>
      <c r="I42" s="885" t="s">
        <v>87</v>
      </c>
      <c r="J42" s="1452" t="s">
        <v>85</v>
      </c>
    </row>
    <row r="43" spans="4:10" x14ac:dyDescent="0.2">
      <c r="D43" s="885"/>
      <c r="F43" s="885"/>
      <c r="G43" s="885" t="s">
        <v>88</v>
      </c>
      <c r="I43" s="885" t="s">
        <v>89</v>
      </c>
      <c r="J43" s="1452" t="s">
        <v>90</v>
      </c>
    </row>
    <row r="44" spans="4:10" x14ac:dyDescent="0.2">
      <c r="D44" s="885"/>
      <c r="F44" s="885"/>
      <c r="J44" s="1452" t="s">
        <v>91</v>
      </c>
    </row>
    <row r="45" spans="4:10" x14ac:dyDescent="0.2">
      <c r="D45" s="885"/>
      <c r="F45" s="885"/>
    </row>
    <row r="46" spans="4:10" x14ac:dyDescent="0.2">
      <c r="D46" s="885"/>
      <c r="F46" s="885"/>
      <c r="G46" s="885" t="s">
        <v>92</v>
      </c>
      <c r="I46" s="885" t="s">
        <v>93</v>
      </c>
      <c r="J46" s="1587" t="s">
        <v>94</v>
      </c>
    </row>
    <row r="47" spans="4:10" x14ac:dyDescent="0.2">
      <c r="D47" s="885"/>
      <c r="F47" s="885"/>
      <c r="G47" s="885" t="s">
        <v>95</v>
      </c>
      <c r="I47" s="885" t="s">
        <v>96</v>
      </c>
      <c r="J47" s="1587" t="s">
        <v>94</v>
      </c>
    </row>
    <row r="48" spans="4:10" x14ac:dyDescent="0.2">
      <c r="D48" s="885"/>
      <c r="F48" s="885"/>
      <c r="G48" s="885" t="s">
        <v>97</v>
      </c>
      <c r="I48" s="885" t="s">
        <v>98</v>
      </c>
      <c r="J48" s="1587" t="s">
        <v>99</v>
      </c>
    </row>
    <row r="49" spans="4:11" x14ac:dyDescent="0.2">
      <c r="D49" s="885"/>
      <c r="F49" s="885"/>
      <c r="G49" s="885" t="s">
        <v>100</v>
      </c>
      <c r="I49" s="885" t="s">
        <v>101</v>
      </c>
      <c r="J49" s="1587" t="s">
        <v>826</v>
      </c>
    </row>
    <row r="50" spans="4:11" x14ac:dyDescent="0.2">
      <c r="D50" s="885"/>
      <c r="F50" s="885"/>
    </row>
    <row r="51" spans="4:11" x14ac:dyDescent="0.2">
      <c r="D51" s="885"/>
      <c r="E51" s="886" t="s">
        <v>102</v>
      </c>
      <c r="F51" s="885"/>
      <c r="G51" s="885" t="s">
        <v>54</v>
      </c>
      <c r="I51" s="885" t="s">
        <v>103</v>
      </c>
      <c r="J51" s="1864" t="s">
        <v>104</v>
      </c>
    </row>
    <row r="52" spans="4:11" x14ac:dyDescent="0.2">
      <c r="D52" s="885"/>
      <c r="F52" s="885"/>
      <c r="J52" s="1864" t="s">
        <v>105</v>
      </c>
    </row>
    <row r="53" spans="4:11" x14ac:dyDescent="0.2">
      <c r="D53" s="885"/>
      <c r="F53" s="885"/>
      <c r="J53" s="1865" t="s">
        <v>843</v>
      </c>
    </row>
    <row r="54" spans="4:11" x14ac:dyDescent="0.2">
      <c r="D54" s="885"/>
      <c r="F54" s="885"/>
    </row>
    <row r="55" spans="4:11" x14ac:dyDescent="0.2">
      <c r="D55" s="885"/>
      <c r="F55" s="885"/>
      <c r="G55" s="885" t="s">
        <v>58</v>
      </c>
      <c r="I55" s="885" t="s">
        <v>59</v>
      </c>
      <c r="J55" s="1864" t="s">
        <v>60</v>
      </c>
    </row>
    <row r="56" spans="4:11" x14ac:dyDescent="0.2">
      <c r="D56" s="885"/>
      <c r="F56" s="885"/>
      <c r="G56" s="885" t="s">
        <v>61</v>
      </c>
      <c r="I56" s="885" t="s">
        <v>62</v>
      </c>
      <c r="J56" s="1864" t="s">
        <v>60</v>
      </c>
    </row>
    <row r="57" spans="4:11" x14ac:dyDescent="0.2">
      <c r="D57" s="885"/>
      <c r="F57" s="885"/>
    </row>
    <row r="58" spans="4:11" x14ac:dyDescent="0.2">
      <c r="D58" s="885"/>
      <c r="F58" s="885"/>
      <c r="G58" s="885" t="s">
        <v>49</v>
      </c>
      <c r="I58" s="885" t="s">
        <v>106</v>
      </c>
      <c r="J58" s="1864" t="s">
        <v>844</v>
      </c>
    </row>
    <row r="59" spans="4:11" x14ac:dyDescent="0.2">
      <c r="D59" s="885"/>
      <c r="F59" s="885"/>
      <c r="J59" s="1864" t="s">
        <v>107</v>
      </c>
    </row>
    <row r="60" spans="4:11" x14ac:dyDescent="0.2">
      <c r="D60" s="885"/>
      <c r="F60" s="885"/>
      <c r="K60" s="1864" t="s">
        <v>108</v>
      </c>
    </row>
    <row r="61" spans="4:11" x14ac:dyDescent="0.2">
      <c r="D61" s="885"/>
      <c r="F61" s="885"/>
      <c r="K61" s="1864" t="s">
        <v>835</v>
      </c>
    </row>
    <row r="62" spans="4:11" x14ac:dyDescent="0.2">
      <c r="D62" s="885"/>
      <c r="F62" s="885"/>
      <c r="J62" s="1864" t="s">
        <v>109</v>
      </c>
    </row>
    <row r="63" spans="4:11" x14ac:dyDescent="0.2">
      <c r="D63" s="885"/>
      <c r="F63" s="885"/>
      <c r="J63" s="1864" t="s">
        <v>684</v>
      </c>
    </row>
    <row r="64" spans="4:11" x14ac:dyDescent="0.2">
      <c r="D64" s="885"/>
      <c r="F64" s="885"/>
    </row>
    <row r="65" spans="4:10" x14ac:dyDescent="0.2">
      <c r="D65" s="885"/>
      <c r="F65" s="885"/>
      <c r="G65" s="885" t="s">
        <v>69</v>
      </c>
      <c r="I65" s="885" t="s">
        <v>110</v>
      </c>
      <c r="J65" s="1864" t="s">
        <v>836</v>
      </c>
    </row>
    <row r="66" spans="4:10" x14ac:dyDescent="0.2">
      <c r="D66" s="885"/>
      <c r="F66" s="885"/>
      <c r="J66" s="1867" t="s">
        <v>833</v>
      </c>
    </row>
    <row r="67" spans="4:10" x14ac:dyDescent="0.2">
      <c r="D67" s="885"/>
      <c r="F67" s="885"/>
      <c r="J67" s="1867" t="s">
        <v>845</v>
      </c>
    </row>
    <row r="68" spans="4:10" x14ac:dyDescent="0.2">
      <c r="D68" s="885"/>
      <c r="F68" s="885"/>
    </row>
    <row r="69" spans="4:10" x14ac:dyDescent="0.2">
      <c r="D69" s="885"/>
      <c r="F69" s="885"/>
      <c r="G69" s="885" t="s">
        <v>79</v>
      </c>
      <c r="I69" s="885" t="s">
        <v>111</v>
      </c>
      <c r="J69" s="1864" t="s">
        <v>112</v>
      </c>
    </row>
    <row r="70" spans="4:10" x14ac:dyDescent="0.2">
      <c r="D70" s="885"/>
      <c r="F70" s="885"/>
      <c r="G70" s="885" t="s">
        <v>82</v>
      </c>
      <c r="I70" s="885" t="s">
        <v>113</v>
      </c>
      <c r="J70" s="1864" t="s">
        <v>834</v>
      </c>
    </row>
    <row r="71" spans="4:10" x14ac:dyDescent="0.2">
      <c r="D71" s="885"/>
      <c r="F71" s="885"/>
      <c r="G71" s="885" t="s">
        <v>83</v>
      </c>
      <c r="I71" s="885" t="s">
        <v>98</v>
      </c>
      <c r="J71" s="1864" t="s">
        <v>685</v>
      </c>
    </row>
    <row r="72" spans="4:10" x14ac:dyDescent="0.2">
      <c r="D72" s="885"/>
      <c r="F72" s="885"/>
      <c r="G72" s="885" t="s">
        <v>86</v>
      </c>
      <c r="I72" s="885" t="s">
        <v>101</v>
      </c>
      <c r="J72" s="1864" t="s">
        <v>686</v>
      </c>
    </row>
    <row r="73" spans="4:10" x14ac:dyDescent="0.2">
      <c r="D73" s="885"/>
      <c r="F73" s="885"/>
    </row>
    <row r="74" spans="4:10" x14ac:dyDescent="0.2">
      <c r="D74" s="885"/>
      <c r="E74" s="886" t="s">
        <v>114</v>
      </c>
      <c r="F74" s="885"/>
      <c r="I74" s="885" t="s">
        <v>115</v>
      </c>
      <c r="J74" s="1953" t="s">
        <v>714</v>
      </c>
    </row>
    <row r="75" spans="4:10" x14ac:dyDescent="0.2">
      <c r="D75" s="885"/>
      <c r="E75" s="886" t="s">
        <v>116</v>
      </c>
      <c r="F75" s="885"/>
      <c r="I75" s="885" t="s">
        <v>115</v>
      </c>
      <c r="J75" s="1953" t="s">
        <v>73</v>
      </c>
    </row>
    <row r="76" spans="4:10" x14ac:dyDescent="0.2">
      <c r="D76" s="885"/>
      <c r="E76" s="886" t="s">
        <v>117</v>
      </c>
      <c r="F76" s="885"/>
      <c r="I76" s="885" t="s">
        <v>115</v>
      </c>
      <c r="J76" s="1953" t="s">
        <v>73</v>
      </c>
    </row>
    <row r="77" spans="4:10" x14ac:dyDescent="0.2">
      <c r="D77" s="885"/>
      <c r="E77" s="886" t="s">
        <v>118</v>
      </c>
      <c r="F77" s="885"/>
      <c r="I77" s="885" t="s">
        <v>115</v>
      </c>
      <c r="J77" s="1953" t="s">
        <v>73</v>
      </c>
    </row>
    <row r="78" spans="4:10" x14ac:dyDescent="0.2">
      <c r="D78" s="885"/>
      <c r="E78" s="886" t="s">
        <v>119</v>
      </c>
      <c r="F78" s="885"/>
      <c r="I78" s="885" t="s">
        <v>115</v>
      </c>
      <c r="J78" s="1953" t="s">
        <v>73</v>
      </c>
    </row>
    <row r="79" spans="4:10" x14ac:dyDescent="0.2">
      <c r="D79" s="885"/>
      <c r="E79" s="886" t="s">
        <v>120</v>
      </c>
      <c r="F79" s="885"/>
      <c r="I79" s="885" t="s">
        <v>115</v>
      </c>
      <c r="J79" s="1953" t="s">
        <v>73</v>
      </c>
    </row>
    <row r="80" spans="4:10" x14ac:dyDescent="0.2">
      <c r="D80" s="885"/>
      <c r="E80" s="886" t="s">
        <v>121</v>
      </c>
      <c r="F80" s="885"/>
      <c r="I80" s="885" t="s">
        <v>115</v>
      </c>
      <c r="J80" s="1953" t="s">
        <v>73</v>
      </c>
    </row>
    <row r="81" spans="4:10" x14ac:dyDescent="0.2">
      <c r="D81" s="885"/>
      <c r="E81" s="886" t="s">
        <v>122</v>
      </c>
      <c r="F81" s="885"/>
      <c r="I81" s="885" t="s">
        <v>115</v>
      </c>
      <c r="J81" s="1953" t="s">
        <v>73</v>
      </c>
    </row>
    <row r="82" spans="4:10" x14ac:dyDescent="0.2">
      <c r="D82" s="885"/>
      <c r="E82" s="886" t="s">
        <v>123</v>
      </c>
      <c r="F82" s="885"/>
      <c r="I82" s="885" t="s">
        <v>115</v>
      </c>
      <c r="J82" s="1953" t="s">
        <v>73</v>
      </c>
    </row>
    <row r="83" spans="4:10" x14ac:dyDescent="0.2">
      <c r="D83" s="885"/>
      <c r="E83" s="886" t="s">
        <v>124</v>
      </c>
      <c r="F83" s="885"/>
      <c r="I83" s="885" t="s">
        <v>125</v>
      </c>
      <c r="J83" s="1452" t="s">
        <v>126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16F15-D1FE-4534-B1F0-65B9ED1C9B2E}">
  <sheetPr>
    <tabColor theme="1"/>
  </sheetPr>
  <dimension ref="B2:I16"/>
  <sheetViews>
    <sheetView workbookViewId="0"/>
    <sheetView workbookViewId="1"/>
  </sheetViews>
  <sheetFormatPr defaultRowHeight="15" x14ac:dyDescent="0.25"/>
  <cols>
    <col min="1" max="1" width="2.28515625" customWidth="1"/>
    <col min="2" max="2" width="8.85546875" customWidth="1"/>
    <col min="3" max="3" width="10" customWidth="1"/>
    <col min="5" max="5" width="12.42578125" customWidth="1"/>
    <col min="6" max="6" width="9.140625" style="1353"/>
    <col min="7" max="7" width="9.140625" style="1888"/>
  </cols>
  <sheetData>
    <row r="2" spans="2:9" x14ac:dyDescent="0.25">
      <c r="C2" s="1886"/>
      <c r="D2" s="1886"/>
      <c r="E2" s="1886"/>
      <c r="F2" s="1886" t="s">
        <v>849</v>
      </c>
      <c r="G2" s="1887" t="s">
        <v>850</v>
      </c>
    </row>
    <row r="3" spans="2:9" x14ac:dyDescent="0.25">
      <c r="B3" s="1474" t="s">
        <v>851</v>
      </c>
      <c r="C3" t="s">
        <v>847</v>
      </c>
      <c r="D3" t="s">
        <v>846</v>
      </c>
      <c r="F3" s="1895">
        <v>-113.4</v>
      </c>
      <c r="G3" s="1896">
        <f>F3/12</f>
        <v>-9.4500000000000011</v>
      </c>
    </row>
    <row r="4" spans="2:9" x14ac:dyDescent="0.25">
      <c r="C4" s="1878" t="s">
        <v>847</v>
      </c>
      <c r="D4" s="1878" t="s">
        <v>64</v>
      </c>
      <c r="E4" s="1878"/>
      <c r="F4" s="1897">
        <v>-45.9</v>
      </c>
      <c r="G4" s="1898">
        <f>F4/12</f>
        <v>-3.8249999999999997</v>
      </c>
      <c r="H4" s="1880" t="s">
        <v>854</v>
      </c>
    </row>
    <row r="5" spans="2:9" x14ac:dyDescent="0.25">
      <c r="C5" s="1474" t="s">
        <v>847</v>
      </c>
      <c r="D5" s="1474" t="s">
        <v>695</v>
      </c>
      <c r="E5" s="1474"/>
      <c r="F5" s="1899">
        <f>SUM(F3:F4)</f>
        <v>-159.30000000000001</v>
      </c>
      <c r="G5" s="1900">
        <f>F5/12</f>
        <v>-13.275</v>
      </c>
    </row>
    <row r="6" spans="2:9" x14ac:dyDescent="0.25">
      <c r="F6" s="1895"/>
      <c r="G6" s="1896"/>
    </row>
    <row r="7" spans="2:9" x14ac:dyDescent="0.25">
      <c r="B7" s="1474" t="s">
        <v>852</v>
      </c>
      <c r="C7" t="s">
        <v>848</v>
      </c>
      <c r="D7" t="str">
        <f>D4</f>
        <v>Justering avskrivningar</v>
      </c>
      <c r="F7" s="1895">
        <v>-98</v>
      </c>
      <c r="G7" s="1896">
        <f>F7/12</f>
        <v>-8.1666666666666661</v>
      </c>
    </row>
    <row r="8" spans="2:9" x14ac:dyDescent="0.25">
      <c r="C8" s="1878" t="s">
        <v>842</v>
      </c>
      <c r="D8" s="1878" t="s">
        <v>855</v>
      </c>
      <c r="E8" s="1878"/>
      <c r="F8" s="1897">
        <v>25</v>
      </c>
      <c r="G8" s="1901">
        <f>F8/12</f>
        <v>2.0833333333333335</v>
      </c>
    </row>
    <row r="9" spans="2:9" x14ac:dyDescent="0.25">
      <c r="C9" s="1474" t="s">
        <v>847</v>
      </c>
      <c r="D9" s="1474" t="s">
        <v>695</v>
      </c>
      <c r="E9" s="1474"/>
      <c r="F9" s="1899">
        <f>SUM(F7:F8)</f>
        <v>-73</v>
      </c>
      <c r="G9" s="1902">
        <f>F9/12</f>
        <v>-6.083333333333333</v>
      </c>
      <c r="H9" s="1879" t="s">
        <v>853</v>
      </c>
    </row>
    <row r="10" spans="2:9" x14ac:dyDescent="0.25">
      <c r="F10" s="1895"/>
      <c r="G10" s="1896"/>
    </row>
    <row r="11" spans="2:9" ht="15.75" thickBot="1" x14ac:dyDescent="0.3">
      <c r="C11" s="1876" t="s">
        <v>156</v>
      </c>
      <c r="D11" s="1877" t="str">
        <f>D7</f>
        <v>Justering avskrivningar</v>
      </c>
      <c r="E11" s="1877"/>
      <c r="F11" s="1903">
        <f>F9-F4</f>
        <v>-27.1</v>
      </c>
      <c r="G11" s="1904">
        <f>G9-G4</f>
        <v>-2.2583333333333333</v>
      </c>
    </row>
    <row r="12" spans="2:9" ht="15.75" thickTop="1" x14ac:dyDescent="0.25"/>
    <row r="14" spans="2:9" x14ac:dyDescent="0.25">
      <c r="H14" s="1888"/>
      <c r="I14" s="1888"/>
    </row>
    <row r="15" spans="2:9" x14ac:dyDescent="0.25">
      <c r="H15" s="1888"/>
      <c r="I15" s="1888"/>
    </row>
    <row r="16" spans="2:9" x14ac:dyDescent="0.25">
      <c r="H16" s="1888"/>
      <c r="I16" s="188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2184E-FA40-44D5-83D3-536446DA47B7}">
  <sheetPr>
    <tabColor theme="5" tint="-0.249977111117893"/>
  </sheetPr>
  <dimension ref="C2:BI24"/>
  <sheetViews>
    <sheetView workbookViewId="0"/>
    <sheetView workbookViewId="1"/>
  </sheetViews>
  <sheetFormatPr defaultColWidth="8.85546875" defaultRowHeight="11.25" x14ac:dyDescent="0.2"/>
  <cols>
    <col min="1" max="6" width="8.85546875" style="2071"/>
    <col min="7" max="7" width="11" style="2071" customWidth="1"/>
    <col min="8" max="8" width="8.85546875" style="2071"/>
    <col min="9" max="9" width="9.7109375" style="2071" bestFit="1" customWidth="1"/>
    <col min="10" max="12" width="8.85546875" style="2071"/>
    <col min="13" max="13" width="10.5703125" style="2071" bestFit="1" customWidth="1"/>
    <col min="14" max="18" width="8.85546875" style="2071"/>
    <col min="19" max="19" width="10.5703125" style="2071" bestFit="1" customWidth="1"/>
    <col min="20" max="24" width="8.85546875" style="2071"/>
    <col min="25" max="25" width="9.85546875" style="2071" bestFit="1" customWidth="1"/>
    <col min="26" max="30" width="8.85546875" style="2071"/>
    <col min="31" max="31" width="9.42578125" style="2071" bestFit="1" customWidth="1"/>
    <col min="32" max="36" width="8.85546875" style="2071"/>
    <col min="37" max="37" width="9.42578125" style="2071" bestFit="1" customWidth="1"/>
    <col min="38" max="42" width="8.85546875" style="2071"/>
    <col min="43" max="43" width="9.42578125" style="2071" bestFit="1" customWidth="1"/>
    <col min="44" max="48" width="8.85546875" style="2071"/>
    <col min="49" max="49" width="9.42578125" style="2071" bestFit="1" customWidth="1"/>
    <col min="50" max="54" width="8.85546875" style="2071"/>
    <col min="55" max="55" width="9" style="2071" bestFit="1" customWidth="1"/>
    <col min="56" max="60" width="8.85546875" style="2071"/>
    <col min="61" max="61" width="9" style="2071" bestFit="1" customWidth="1"/>
    <col min="62" max="16384" width="8.85546875" style="2071"/>
  </cols>
  <sheetData>
    <row r="2" spans="3:61" ht="15" x14ac:dyDescent="0.25">
      <c r="C2" s="2094" t="s">
        <v>876</v>
      </c>
      <c r="D2" s="2094"/>
      <c r="E2" s="2094"/>
      <c r="F2" s="2094"/>
      <c r="G2" s="2094"/>
      <c r="H2" s="2094"/>
      <c r="I2" s="2094"/>
      <c r="J2" s="2094"/>
      <c r="K2" s="2094"/>
      <c r="L2" s="2094"/>
      <c r="M2" s="2094"/>
      <c r="N2" s="2094"/>
      <c r="O2" s="2094"/>
      <c r="P2" s="2094"/>
      <c r="Q2" s="2094"/>
      <c r="R2" s="2094"/>
      <c r="S2" s="2094"/>
      <c r="T2" s="2094"/>
      <c r="U2" s="2094"/>
      <c r="V2" s="2094"/>
      <c r="W2" s="2094"/>
      <c r="X2" s="2094"/>
      <c r="Y2" s="2094"/>
      <c r="Z2" s="2094"/>
      <c r="AA2" s="2094"/>
      <c r="AB2" s="2094"/>
      <c r="AC2" s="2094"/>
      <c r="AD2" s="2094"/>
      <c r="AE2" s="2094"/>
      <c r="AF2" s="2094"/>
      <c r="AG2" s="2094"/>
      <c r="AH2" s="2094"/>
      <c r="AI2" s="2094"/>
      <c r="AJ2" s="2094"/>
      <c r="AK2" s="2094"/>
      <c r="AL2" s="2094"/>
      <c r="AM2" s="2094"/>
      <c r="AN2" s="2094"/>
      <c r="AO2" s="2094"/>
      <c r="AP2" s="2094"/>
      <c r="AQ2" s="2094"/>
      <c r="AR2" s="2094"/>
      <c r="AS2" s="2094"/>
      <c r="AT2" s="2094"/>
      <c r="AU2" s="2094"/>
      <c r="AV2" s="2094"/>
      <c r="AW2" s="2094"/>
      <c r="AX2" s="2094"/>
      <c r="AY2" s="2094"/>
      <c r="AZ2" s="2094"/>
      <c r="BA2" s="2094"/>
      <c r="BB2" s="2094"/>
      <c r="BC2" s="2094"/>
      <c r="BD2" s="2094"/>
      <c r="BE2" s="2094"/>
      <c r="BF2" s="2094"/>
      <c r="BG2" s="2094"/>
      <c r="BH2" s="2094"/>
      <c r="BI2" s="2094"/>
    </row>
    <row r="4" spans="3:61" x14ac:dyDescent="0.2">
      <c r="G4" s="2071">
        <v>2403</v>
      </c>
      <c r="M4" s="2071">
        <v>2406</v>
      </c>
      <c r="S4" s="2071">
        <v>2409</v>
      </c>
      <c r="Y4" s="2071">
        <v>2412</v>
      </c>
      <c r="AE4" s="2071">
        <v>2503</v>
      </c>
      <c r="AK4" s="2071">
        <v>2506</v>
      </c>
      <c r="AQ4" s="2071">
        <v>2509</v>
      </c>
      <c r="AW4" s="2071">
        <v>2512</v>
      </c>
      <c r="BC4" s="2071">
        <v>2603</v>
      </c>
      <c r="BI4" s="2071">
        <v>2606</v>
      </c>
    </row>
    <row r="6" spans="3:61" x14ac:dyDescent="0.2">
      <c r="C6" s="2072" t="s">
        <v>870</v>
      </c>
      <c r="D6" s="2072"/>
      <c r="E6" s="2072"/>
      <c r="F6" s="2072"/>
      <c r="G6" s="2073">
        <v>483029</v>
      </c>
      <c r="I6" s="2072" t="s">
        <v>870</v>
      </c>
      <c r="J6" s="2072"/>
      <c r="K6" s="2072"/>
      <c r="L6" s="2072"/>
      <c r="M6" s="2073">
        <v>1146163</v>
      </c>
      <c r="O6" s="2072" t="s">
        <v>870</v>
      </c>
      <c r="P6" s="2072"/>
      <c r="Q6" s="2072"/>
      <c r="R6" s="2072"/>
      <c r="S6" s="2074">
        <v>1750191</v>
      </c>
      <c r="U6" s="2072" t="s">
        <v>870</v>
      </c>
      <c r="V6" s="2072"/>
      <c r="W6" s="2072"/>
      <c r="X6" s="2072"/>
      <c r="Y6" s="2074">
        <v>1750191</v>
      </c>
      <c r="AA6" s="2072" t="s">
        <v>870</v>
      </c>
      <c r="AB6" s="2072"/>
      <c r="AC6" s="2072"/>
      <c r="AD6" s="2072"/>
      <c r="AE6" s="2074">
        <v>517951</v>
      </c>
      <c r="AG6" s="2072" t="s">
        <v>870</v>
      </c>
      <c r="AH6" s="2072"/>
      <c r="AI6" s="2072"/>
      <c r="AJ6" s="2072"/>
      <c r="AK6" s="2074">
        <v>1024549</v>
      </c>
      <c r="AM6" s="2072" t="s">
        <v>870</v>
      </c>
      <c r="AN6" s="2072"/>
      <c r="AO6" s="2072"/>
      <c r="AP6" s="2072"/>
      <c r="AQ6" s="2074">
        <v>1488706</v>
      </c>
      <c r="AS6" s="2072" t="s">
        <v>870</v>
      </c>
      <c r="AT6" s="2072"/>
      <c r="AU6" s="2072"/>
      <c r="AV6" s="2072"/>
      <c r="AW6" s="2074">
        <v>1902272</v>
      </c>
      <c r="AY6" s="2072" t="s">
        <v>870</v>
      </c>
      <c r="AZ6" s="2072"/>
      <c r="BA6" s="2072"/>
      <c r="BB6" s="2072"/>
      <c r="BC6" s="2074">
        <v>506238</v>
      </c>
      <c r="BE6" s="2072" t="s">
        <v>870</v>
      </c>
      <c r="BF6" s="2072"/>
      <c r="BG6" s="2072"/>
      <c r="BH6" s="2072"/>
      <c r="BI6" s="2074">
        <v>990255</v>
      </c>
    </row>
    <row r="7" spans="3:61" x14ac:dyDescent="0.2">
      <c r="C7" s="2072" t="s">
        <v>871</v>
      </c>
      <c r="D7" s="2072"/>
      <c r="E7" s="2072"/>
      <c r="F7" s="2072"/>
      <c r="G7" s="2075">
        <v>1979430.1099999999</v>
      </c>
      <c r="I7" s="2072" t="s">
        <v>871</v>
      </c>
      <c r="J7" s="2072"/>
      <c r="K7" s="2072"/>
      <c r="L7" s="2072"/>
      <c r="M7" s="2075">
        <v>4138857.76</v>
      </c>
      <c r="O7" s="2072" t="s">
        <v>871</v>
      </c>
      <c r="P7" s="2072"/>
      <c r="Q7" s="2072"/>
      <c r="R7" s="2072"/>
      <c r="S7" s="2076">
        <v>6161249.8300000001</v>
      </c>
      <c r="U7" s="2072" t="s">
        <v>871</v>
      </c>
      <c r="V7" s="2072"/>
      <c r="W7" s="2072"/>
      <c r="X7" s="2072"/>
      <c r="Y7" s="2076">
        <v>6161249.8300000001</v>
      </c>
      <c r="AA7" s="2072" t="s">
        <v>871</v>
      </c>
      <c r="AB7" s="2072"/>
      <c r="AC7" s="2072"/>
      <c r="AD7" s="2072"/>
      <c r="AE7" s="2075">
        <v>1512179.9100000001</v>
      </c>
      <c r="AG7" s="2072" t="s">
        <v>871</v>
      </c>
      <c r="AH7" s="2072"/>
      <c r="AI7" s="2072"/>
      <c r="AJ7" s="2072"/>
      <c r="AK7" s="2075">
        <v>2852392.93</v>
      </c>
      <c r="AM7" s="2072" t="s">
        <v>871</v>
      </c>
      <c r="AN7" s="2072"/>
      <c r="AO7" s="2072"/>
      <c r="AP7" s="2072"/>
      <c r="AQ7" s="2075">
        <v>4083142.83</v>
      </c>
      <c r="AS7" s="2072" t="s">
        <v>871</v>
      </c>
      <c r="AT7" s="2072"/>
      <c r="AU7" s="2072"/>
      <c r="AV7" s="2072"/>
      <c r="AW7" s="2075">
        <v>6187090.8799999999</v>
      </c>
      <c r="AY7" s="2072" t="s">
        <v>871</v>
      </c>
      <c r="AZ7" s="2072"/>
      <c r="BA7" s="2072"/>
      <c r="BB7" s="2072"/>
      <c r="BC7" s="2075">
        <v>1946150.58</v>
      </c>
      <c r="BE7" s="2072" t="s">
        <v>871</v>
      </c>
      <c r="BF7" s="2072"/>
      <c r="BG7" s="2072"/>
      <c r="BH7" s="2072"/>
      <c r="BI7" s="2075">
        <v>4288283.76</v>
      </c>
    </row>
    <row r="8" spans="3:61" x14ac:dyDescent="0.2">
      <c r="C8" s="2072" t="s">
        <v>872</v>
      </c>
      <c r="D8" s="2072"/>
      <c r="E8" s="2072"/>
      <c r="F8" s="2072"/>
      <c r="G8" s="2077">
        <v>3582264.06</v>
      </c>
      <c r="I8" s="2072" t="s">
        <v>872</v>
      </c>
      <c r="J8" s="2072"/>
      <c r="K8" s="2072"/>
      <c r="L8" s="2072"/>
      <c r="M8" s="2077">
        <v>2268426.46</v>
      </c>
      <c r="O8" s="2072" t="s">
        <v>872</v>
      </c>
      <c r="P8" s="2072"/>
      <c r="Q8" s="2072"/>
      <c r="R8" s="2072"/>
      <c r="S8" s="2077">
        <v>1837190.91</v>
      </c>
      <c r="U8" s="2072" t="s">
        <v>872</v>
      </c>
      <c r="V8" s="2072"/>
      <c r="W8" s="2072"/>
      <c r="X8" s="2072"/>
      <c r="Y8" s="2077">
        <v>1837190.91</v>
      </c>
      <c r="AA8" s="2072" t="s">
        <v>872</v>
      </c>
      <c r="AB8" s="2072"/>
      <c r="AC8" s="2072"/>
      <c r="AD8" s="2072"/>
      <c r="AE8" s="2077">
        <v>-4425130.05</v>
      </c>
      <c r="AG8" s="2072" t="s">
        <v>872</v>
      </c>
      <c r="AH8" s="2072"/>
      <c r="AI8" s="2072"/>
      <c r="AJ8" s="2072"/>
      <c r="AK8" s="2077">
        <v>-2488386.86</v>
      </c>
      <c r="AM8" s="2072" t="s">
        <v>872</v>
      </c>
      <c r="AN8" s="2072"/>
      <c r="AO8" s="2072"/>
      <c r="AP8" s="2072"/>
      <c r="AQ8" s="2077">
        <v>-3054403.97</v>
      </c>
      <c r="AS8" s="2072" t="s">
        <v>872</v>
      </c>
      <c r="AT8" s="2072"/>
      <c r="AU8" s="2072"/>
      <c r="AV8" s="2072"/>
      <c r="AW8" s="2077">
        <v>-4461460.99</v>
      </c>
      <c r="AY8" s="2072" t="s">
        <v>872</v>
      </c>
      <c r="AZ8" s="2072"/>
      <c r="BA8" s="2072"/>
      <c r="BB8" s="2072"/>
      <c r="BC8" s="2077">
        <v>630013.09</v>
      </c>
      <c r="BE8" s="2072" t="s">
        <v>872</v>
      </c>
      <c r="BF8" s="2072"/>
      <c r="BG8" s="2072"/>
      <c r="BH8" s="2072"/>
      <c r="BI8" s="2077">
        <v>1349632.4</v>
      </c>
    </row>
    <row r="9" spans="3:61" x14ac:dyDescent="0.2">
      <c r="C9" s="2072" t="s">
        <v>873</v>
      </c>
      <c r="D9" s="2072"/>
      <c r="E9" s="2072"/>
      <c r="F9" s="2072"/>
      <c r="G9" s="2078">
        <v>2574779</v>
      </c>
      <c r="I9" s="2072" t="s">
        <v>873</v>
      </c>
      <c r="J9" s="2072"/>
      <c r="K9" s="2072"/>
      <c r="L9" s="2072"/>
      <c r="M9" s="2078">
        <v>5052603.26</v>
      </c>
      <c r="O9" s="2072" t="s">
        <v>873</v>
      </c>
      <c r="P9" s="2072"/>
      <c r="Q9" s="2072"/>
      <c r="R9" s="2072"/>
      <c r="S9" s="2078">
        <v>14018139.49</v>
      </c>
      <c r="U9" s="2072" t="s">
        <v>873</v>
      </c>
      <c r="V9" s="2072"/>
      <c r="W9" s="2072"/>
      <c r="X9" s="2072"/>
      <c r="Y9" s="2078">
        <v>14018139.49</v>
      </c>
      <c r="AA9" s="2072" t="s">
        <v>873</v>
      </c>
      <c r="AB9" s="2072"/>
      <c r="AC9" s="2072"/>
      <c r="AD9" s="2072"/>
      <c r="AE9" s="2078">
        <v>1239078</v>
      </c>
      <c r="AG9" s="2072" t="s">
        <v>873</v>
      </c>
      <c r="AH9" s="2072"/>
      <c r="AI9" s="2072"/>
      <c r="AJ9" s="2072"/>
      <c r="AK9" s="2078">
        <v>2350018.2000000002</v>
      </c>
      <c r="AM9" s="2072" t="s">
        <v>873</v>
      </c>
      <c r="AN9" s="2072"/>
      <c r="AO9" s="2072"/>
      <c r="AP9" s="2072"/>
      <c r="AQ9" s="2078">
        <v>3355656.2</v>
      </c>
      <c r="AS9" s="2072" t="s">
        <v>873</v>
      </c>
      <c r="AT9" s="2072"/>
      <c r="AU9" s="2072"/>
      <c r="AV9" s="2072"/>
      <c r="AW9" s="2078">
        <v>4176018.2</v>
      </c>
      <c r="AY9" s="2072" t="s">
        <v>873</v>
      </c>
      <c r="AZ9" s="2072"/>
      <c r="BA9" s="2072"/>
      <c r="BB9" s="2072"/>
      <c r="BC9" s="2078">
        <v>654785</v>
      </c>
      <c r="BE9" s="2072" t="s">
        <v>873</v>
      </c>
      <c r="BF9" s="2072"/>
      <c r="BG9" s="2072"/>
      <c r="BH9" s="2072"/>
      <c r="BI9" s="2078">
        <v>1133052.8600000001</v>
      </c>
    </row>
    <row r="10" spans="3:61" x14ac:dyDescent="0.2">
      <c r="C10" s="2072" t="s">
        <v>701</v>
      </c>
      <c r="D10" s="2072"/>
      <c r="E10" s="2072"/>
      <c r="F10" s="2072"/>
      <c r="G10" s="2073">
        <v>949545.82999999961</v>
      </c>
      <c r="I10" s="2072" t="s">
        <v>701</v>
      </c>
      <c r="J10" s="2072"/>
      <c r="K10" s="2072"/>
      <c r="L10" s="2072"/>
      <c r="M10" s="2073">
        <v>2344872.5199999996</v>
      </c>
      <c r="O10" s="2072" t="s">
        <v>701</v>
      </c>
      <c r="P10" s="2072"/>
      <c r="Q10" s="2072"/>
      <c r="R10" s="2072"/>
      <c r="S10" s="2073">
        <v>3532905.7699999977</v>
      </c>
      <c r="U10" s="2072" t="s">
        <v>701</v>
      </c>
      <c r="V10" s="2072"/>
      <c r="W10" s="2072"/>
      <c r="X10" s="2072"/>
      <c r="Y10" s="2073">
        <v>3532905.7699999977</v>
      </c>
      <c r="AA10" s="2072" t="s">
        <v>701</v>
      </c>
      <c r="AB10" s="2072"/>
      <c r="AC10" s="2072"/>
      <c r="AD10" s="2072"/>
      <c r="AE10" s="2073">
        <v>693449.42137165973</v>
      </c>
      <c r="AG10" s="2072" t="s">
        <v>701</v>
      </c>
      <c r="AH10" s="2072"/>
      <c r="AI10" s="2072"/>
      <c r="AJ10" s="2072"/>
      <c r="AK10" s="2073">
        <v>2800649.7299999995</v>
      </c>
      <c r="AM10" s="2072" t="s">
        <v>701</v>
      </c>
      <c r="AN10" s="2072"/>
      <c r="AO10" s="2072"/>
      <c r="AP10" s="2072"/>
      <c r="AQ10" s="2073">
        <v>3653487.9400000004</v>
      </c>
      <c r="AS10" s="2072" t="s">
        <v>701</v>
      </c>
      <c r="AT10" s="2072"/>
      <c r="AU10" s="2072"/>
      <c r="AV10" s="2072"/>
      <c r="AW10" s="2073">
        <v>3284412.3349885009</v>
      </c>
      <c r="AY10" s="2072" t="s">
        <v>701</v>
      </c>
      <c r="AZ10" s="2072"/>
      <c r="BA10" s="2072"/>
      <c r="BB10" s="2072"/>
      <c r="BC10" s="2073">
        <v>374937.33000000007</v>
      </c>
      <c r="BE10" s="2072" t="s">
        <v>701</v>
      </c>
      <c r="BF10" s="2072"/>
      <c r="BG10" s="2072"/>
      <c r="BH10" s="2072"/>
      <c r="BI10" s="2073">
        <v>1308096.9799999997</v>
      </c>
    </row>
    <row r="11" spans="3:61" x14ac:dyDescent="0.2">
      <c r="C11" s="2079" t="s">
        <v>874</v>
      </c>
      <c r="D11" s="2079"/>
      <c r="E11" s="2079"/>
      <c r="F11" s="2079"/>
      <c r="G11" s="2080">
        <v>9086019</v>
      </c>
      <c r="I11" s="2079" t="s">
        <v>874</v>
      </c>
      <c r="J11" s="2079"/>
      <c r="K11" s="2079"/>
      <c r="L11" s="2079"/>
      <c r="M11" s="2080">
        <v>13804760</v>
      </c>
      <c r="O11" s="2079" t="s">
        <v>874</v>
      </c>
      <c r="P11" s="2079"/>
      <c r="Q11" s="2079"/>
      <c r="R11" s="2079"/>
      <c r="S11" s="2080">
        <v>25549486</v>
      </c>
      <c r="U11" s="2079" t="s">
        <v>874</v>
      </c>
      <c r="V11" s="2079"/>
      <c r="W11" s="2079"/>
      <c r="X11" s="2079"/>
      <c r="Y11" s="2080">
        <v>25549486</v>
      </c>
      <c r="AA11" s="2079" t="s">
        <v>874</v>
      </c>
      <c r="AB11" s="2079"/>
      <c r="AC11" s="2079"/>
      <c r="AD11" s="2079"/>
      <c r="AE11" s="2080">
        <v>-980422.71862834005</v>
      </c>
      <c r="AG11" s="2079" t="s">
        <v>874</v>
      </c>
      <c r="AH11" s="2079"/>
      <c r="AI11" s="2079"/>
      <c r="AJ11" s="2079"/>
      <c r="AK11" s="2080">
        <v>5514674</v>
      </c>
      <c r="AM11" s="2079" t="s">
        <v>874</v>
      </c>
      <c r="AN11" s="2079"/>
      <c r="AO11" s="2079"/>
      <c r="AP11" s="2079"/>
      <c r="AQ11" s="2080">
        <v>8037883</v>
      </c>
      <c r="AS11" s="2079" t="s">
        <v>874</v>
      </c>
      <c r="AT11" s="2079"/>
      <c r="AU11" s="2079"/>
      <c r="AV11" s="2079"/>
      <c r="AW11" s="2080">
        <v>9186060.4249885008</v>
      </c>
      <c r="AY11" s="2079" t="s">
        <v>874</v>
      </c>
      <c r="AZ11" s="2079"/>
      <c r="BA11" s="2079"/>
      <c r="BB11" s="2079"/>
      <c r="BC11" s="2080">
        <v>3605886</v>
      </c>
      <c r="BE11" s="2079" t="s">
        <v>874</v>
      </c>
      <c r="BF11" s="2079"/>
      <c r="BG11" s="2079"/>
      <c r="BH11" s="2079"/>
      <c r="BI11" s="2080">
        <v>8079066</v>
      </c>
    </row>
    <row r="13" spans="3:61" x14ac:dyDescent="0.2">
      <c r="U13" s="2081"/>
      <c r="V13" s="2081"/>
      <c r="W13" s="2081"/>
      <c r="X13" s="2081"/>
      <c r="Y13" s="2081"/>
    </row>
    <row r="14" spans="3:61" x14ac:dyDescent="0.2">
      <c r="U14" s="2082"/>
      <c r="V14" s="2082"/>
    </row>
    <row r="15" spans="3:61" ht="15" x14ac:dyDescent="0.25">
      <c r="C15" s="2094" t="s">
        <v>877</v>
      </c>
      <c r="D15" s="2094"/>
      <c r="E15" s="2094"/>
      <c r="F15" s="2094"/>
      <c r="G15" s="2094"/>
      <c r="H15" s="2094"/>
      <c r="I15" s="2094"/>
      <c r="J15" s="2094"/>
      <c r="K15" s="2094"/>
      <c r="L15" s="2094"/>
      <c r="M15" s="2094"/>
      <c r="N15" s="2094"/>
      <c r="O15" s="2094"/>
      <c r="P15" s="2094"/>
      <c r="U15" s="2082"/>
      <c r="V15" s="2082"/>
    </row>
    <row r="16" spans="3:61" x14ac:dyDescent="0.2">
      <c r="U16" s="2082"/>
      <c r="V16" s="2082"/>
    </row>
    <row r="17" spans="3:22" x14ac:dyDescent="0.2">
      <c r="U17" s="2082"/>
      <c r="V17" s="2082"/>
    </row>
    <row r="18" spans="3:22" x14ac:dyDescent="0.2">
      <c r="C18" s="2084"/>
      <c r="D18" s="2084"/>
      <c r="E18" s="2085" t="s">
        <v>159</v>
      </c>
      <c r="F18" s="2085" t="s">
        <v>159</v>
      </c>
      <c r="G18" s="2085" t="s">
        <v>159</v>
      </c>
      <c r="H18" s="2085" t="s">
        <v>159</v>
      </c>
      <c r="I18" s="2085" t="s">
        <v>159</v>
      </c>
      <c r="J18" s="2085" t="s">
        <v>159</v>
      </c>
      <c r="K18" s="2085" t="s">
        <v>159</v>
      </c>
      <c r="L18" s="2085" t="s">
        <v>159</v>
      </c>
      <c r="M18" s="2085" t="s">
        <v>159</v>
      </c>
      <c r="N18" s="2085" t="s">
        <v>159</v>
      </c>
      <c r="O18" s="2085" t="s">
        <v>159</v>
      </c>
      <c r="P18" s="2085" t="s">
        <v>159</v>
      </c>
      <c r="U18" s="2082"/>
      <c r="V18" s="2082"/>
    </row>
    <row r="19" spans="3:22" x14ac:dyDescent="0.2">
      <c r="C19" s="2086"/>
      <c r="D19" s="2086"/>
      <c r="E19" s="2087">
        <v>2403</v>
      </c>
      <c r="F19" s="2087">
        <f>E19+3</f>
        <v>2406</v>
      </c>
      <c r="G19" s="2087">
        <f t="shared" ref="G19:P19" si="0">F19+3</f>
        <v>2409</v>
      </c>
      <c r="H19" s="2087">
        <f t="shared" si="0"/>
        <v>2412</v>
      </c>
      <c r="I19" s="2087">
        <v>2503</v>
      </c>
      <c r="J19" s="2087">
        <f t="shared" si="0"/>
        <v>2506</v>
      </c>
      <c r="K19" s="2087">
        <f t="shared" si="0"/>
        <v>2509</v>
      </c>
      <c r="L19" s="2087">
        <f t="shared" si="0"/>
        <v>2512</v>
      </c>
      <c r="M19" s="2087">
        <v>2603</v>
      </c>
      <c r="N19" s="2087">
        <f t="shared" si="0"/>
        <v>2606</v>
      </c>
      <c r="O19" s="2087">
        <f t="shared" si="0"/>
        <v>2609</v>
      </c>
      <c r="P19" s="2087">
        <f t="shared" si="0"/>
        <v>2612</v>
      </c>
      <c r="U19" s="2082"/>
      <c r="V19" s="2082"/>
    </row>
    <row r="20" spans="3:22" x14ac:dyDescent="0.2">
      <c r="C20" s="2088" t="str">
        <f>C7</f>
        <v>Räntekostnader kreditinstut</v>
      </c>
      <c r="D20" s="2088"/>
      <c r="E20" s="2089">
        <f t="shared" ref="E20:P20" si="1">_xlfn.XLOOKUP(E$19,$G$4:$BI$4,$G$7:$BI$7,,)/1000</f>
        <v>1979.4301099999998</v>
      </c>
      <c r="F20" s="2089">
        <f t="shared" si="1"/>
        <v>4138.8577599999999</v>
      </c>
      <c r="G20" s="2089">
        <f t="shared" si="1"/>
        <v>6161.2498299999997</v>
      </c>
      <c r="H20" s="2089">
        <f t="shared" si="1"/>
        <v>6161.2498299999997</v>
      </c>
      <c r="I20" s="2089">
        <f t="shared" si="1"/>
        <v>1512.1799100000001</v>
      </c>
      <c r="J20" s="2089">
        <f t="shared" si="1"/>
        <v>2852.39293</v>
      </c>
      <c r="K20" s="2089">
        <f t="shared" si="1"/>
        <v>4083.1428300000002</v>
      </c>
      <c r="L20" s="2089">
        <f t="shared" si="1"/>
        <v>6187.0908799999997</v>
      </c>
      <c r="M20" s="2089">
        <f t="shared" si="1"/>
        <v>1946.15058</v>
      </c>
      <c r="N20" s="2089">
        <f t="shared" si="1"/>
        <v>4288.2837599999993</v>
      </c>
      <c r="O20" s="2089" t="e">
        <f t="shared" si="1"/>
        <v>#N/A</v>
      </c>
      <c r="P20" s="2089" t="e">
        <f t="shared" si="1"/>
        <v>#N/A</v>
      </c>
      <c r="U20" s="2082"/>
      <c r="V20" s="2082"/>
    </row>
    <row r="21" spans="3:22" x14ac:dyDescent="0.2">
      <c r="E21" s="2082"/>
      <c r="F21" s="2082"/>
      <c r="G21" s="2082"/>
      <c r="H21" s="2082"/>
      <c r="I21" s="2082"/>
      <c r="J21" s="2082"/>
      <c r="K21" s="2082"/>
      <c r="L21" s="2082"/>
      <c r="M21" s="2082"/>
      <c r="N21" s="2082"/>
      <c r="O21" s="2082"/>
      <c r="P21" s="2082"/>
      <c r="Q21" s="2082"/>
      <c r="R21" s="2082"/>
      <c r="S21" s="2082"/>
      <c r="T21" s="2082"/>
      <c r="U21" s="2082"/>
      <c r="V21" s="2082"/>
    </row>
    <row r="22" spans="3:22" x14ac:dyDescent="0.2">
      <c r="C22" s="2084"/>
      <c r="D22" s="2084"/>
      <c r="E22" s="2085" t="s">
        <v>875</v>
      </c>
      <c r="F22" s="2085" t="s">
        <v>875</v>
      </c>
      <c r="G22" s="2085" t="s">
        <v>875</v>
      </c>
      <c r="H22" s="2085" t="s">
        <v>875</v>
      </c>
      <c r="I22" s="2085" t="s">
        <v>875</v>
      </c>
      <c r="J22" s="2085" t="s">
        <v>875</v>
      </c>
      <c r="K22" s="2085" t="s">
        <v>875</v>
      </c>
      <c r="L22" s="2085" t="s">
        <v>875</v>
      </c>
      <c r="M22" s="2085" t="s">
        <v>875</v>
      </c>
      <c r="N22" s="2085" t="s">
        <v>875</v>
      </c>
      <c r="O22" s="2085" t="s">
        <v>875</v>
      </c>
      <c r="P22" s="2085" t="s">
        <v>875</v>
      </c>
      <c r="Q22" s="2082"/>
      <c r="R22" s="2082"/>
      <c r="S22" s="2082"/>
      <c r="T22" s="2082"/>
      <c r="U22" s="2082"/>
      <c r="V22" s="2082"/>
    </row>
    <row r="23" spans="3:22" x14ac:dyDescent="0.2">
      <c r="C23" s="2086"/>
      <c r="D23" s="2086"/>
      <c r="E23" s="2087">
        <f>E19</f>
        <v>2403</v>
      </c>
      <c r="F23" s="2087">
        <f t="shared" ref="F23:P23" si="2">F19</f>
        <v>2406</v>
      </c>
      <c r="G23" s="2087">
        <f t="shared" si="2"/>
        <v>2409</v>
      </c>
      <c r="H23" s="2087">
        <f t="shared" si="2"/>
        <v>2412</v>
      </c>
      <c r="I23" s="2087">
        <f t="shared" si="2"/>
        <v>2503</v>
      </c>
      <c r="J23" s="2087">
        <f t="shared" si="2"/>
        <v>2506</v>
      </c>
      <c r="K23" s="2087">
        <f t="shared" si="2"/>
        <v>2509</v>
      </c>
      <c r="L23" s="2087">
        <f t="shared" si="2"/>
        <v>2512</v>
      </c>
      <c r="M23" s="2087">
        <f t="shared" si="2"/>
        <v>2603</v>
      </c>
      <c r="N23" s="2087">
        <f t="shared" si="2"/>
        <v>2606</v>
      </c>
      <c r="O23" s="2087">
        <f t="shared" si="2"/>
        <v>2609</v>
      </c>
      <c r="P23" s="2087">
        <f t="shared" si="2"/>
        <v>2612</v>
      </c>
    </row>
    <row r="24" spans="3:22" x14ac:dyDescent="0.2">
      <c r="C24" s="2088" t="str">
        <f>C20</f>
        <v>Räntekostnader kreditinstut</v>
      </c>
      <c r="D24" s="2088"/>
      <c r="E24" s="2083">
        <f>E20</f>
        <v>1979.4301099999998</v>
      </c>
      <c r="F24" s="2083">
        <f>F20-E20</f>
        <v>2159.4276500000001</v>
      </c>
      <c r="G24" s="2083">
        <f>G20-F20</f>
        <v>2022.3920699999999</v>
      </c>
      <c r="H24" s="2083">
        <f>H20-G20</f>
        <v>0</v>
      </c>
      <c r="I24" s="2083">
        <f>I20</f>
        <v>1512.1799100000001</v>
      </c>
      <c r="J24" s="2083">
        <f>J20-I20</f>
        <v>1340.2130199999999</v>
      </c>
      <c r="K24" s="2083">
        <f>K20-J20</f>
        <v>1230.7499000000003</v>
      </c>
      <c r="L24" s="2083">
        <f>L20-K20</f>
        <v>2103.9480499999995</v>
      </c>
      <c r="M24" s="2083">
        <f>M20</f>
        <v>1946.15058</v>
      </c>
      <c r="N24" s="2083">
        <f>N20-M20</f>
        <v>2342.1331799999994</v>
      </c>
      <c r="O24" s="2083" t="e">
        <f>O20-N20</f>
        <v>#N/A</v>
      </c>
      <c r="P24" s="2083" t="e">
        <f>P20-O20</f>
        <v>#N/A</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729A-F874-44BA-A273-F73AF8D45724}">
  <sheetPr>
    <tabColor theme="1"/>
  </sheetPr>
  <dimension ref="C2:U25"/>
  <sheetViews>
    <sheetView workbookViewId="0"/>
    <sheetView workbookViewId="1"/>
  </sheetViews>
  <sheetFormatPr defaultRowHeight="15" x14ac:dyDescent="0.25"/>
  <cols>
    <col min="6" max="6" width="14.140625" customWidth="1"/>
    <col min="7" max="7" width="3.7109375" customWidth="1"/>
    <col min="8" max="8" width="11.85546875" style="1287" customWidth="1"/>
    <col min="13" max="13" width="28" customWidth="1"/>
    <col min="14" max="14" width="9.140625" style="1287"/>
  </cols>
  <sheetData>
    <row r="2" spans="4:21" ht="15.75" x14ac:dyDescent="0.25">
      <c r="D2" s="1513" t="s">
        <v>127</v>
      </c>
      <c r="E2" s="1295"/>
      <c r="F2" s="1295"/>
      <c r="G2" s="1490"/>
      <c r="H2" s="1490"/>
      <c r="I2" s="1490"/>
      <c r="J2" s="1490"/>
      <c r="K2" s="1490"/>
      <c r="L2" s="1490"/>
      <c r="M2" s="1490"/>
      <c r="N2" s="1490"/>
    </row>
    <row r="3" spans="4:21" x14ac:dyDescent="0.25">
      <c r="D3" s="1494"/>
      <c r="E3" s="1496"/>
      <c r="F3" s="1497"/>
      <c r="G3" s="1494"/>
      <c r="H3" s="1495"/>
      <c r="I3" s="1496"/>
      <c r="J3" s="1496"/>
      <c r="K3" s="1496"/>
      <c r="L3" s="1496"/>
      <c r="M3" s="1496"/>
      <c r="N3" s="1495"/>
      <c r="O3" s="1496"/>
      <c r="P3" s="1496"/>
      <c r="Q3" s="1496"/>
      <c r="R3" s="1496"/>
      <c r="S3" s="1496"/>
      <c r="T3" s="1496"/>
      <c r="U3" s="1497"/>
    </row>
    <row r="4" spans="4:21" x14ac:dyDescent="0.25">
      <c r="D4" s="1498"/>
      <c r="E4" s="1491"/>
      <c r="F4" s="1500"/>
      <c r="G4" s="1498"/>
      <c r="H4" s="1499" t="s">
        <v>128</v>
      </c>
      <c r="I4" s="1491"/>
      <c r="J4" s="1491"/>
      <c r="K4" s="1491"/>
      <c r="L4" s="1491"/>
      <c r="M4" s="1491"/>
      <c r="N4" s="1499" t="s">
        <v>129</v>
      </c>
      <c r="O4" s="1491"/>
      <c r="P4" s="1491"/>
      <c r="Q4" s="1491"/>
      <c r="R4" s="1491"/>
      <c r="S4" s="1491"/>
      <c r="T4" s="1491"/>
      <c r="U4" s="1500"/>
    </row>
    <row r="5" spans="4:21" x14ac:dyDescent="0.25">
      <c r="D5" s="1508" t="s">
        <v>130</v>
      </c>
      <c r="E5" s="1491"/>
      <c r="F5" s="1500"/>
      <c r="G5" s="1498"/>
      <c r="H5" s="1478" t="s">
        <v>131</v>
      </c>
      <c r="I5" s="1491"/>
      <c r="J5" s="1491"/>
      <c r="K5" s="1491"/>
      <c r="L5" s="1491"/>
      <c r="M5" s="1491"/>
      <c r="N5" s="1478" t="str">
        <f>H5</f>
        <v>Uppdatera datum</v>
      </c>
      <c r="O5" s="1491"/>
      <c r="P5" s="1491"/>
      <c r="Q5" s="1491"/>
      <c r="R5" s="1491"/>
      <c r="S5" s="1491"/>
      <c r="T5" s="1491"/>
      <c r="U5" s="1500"/>
    </row>
    <row r="6" spans="4:21" x14ac:dyDescent="0.25">
      <c r="D6" s="1508" t="s">
        <v>130</v>
      </c>
      <c r="E6" s="1491"/>
      <c r="F6" s="1500"/>
      <c r="G6" s="1498"/>
      <c r="H6" s="1478" t="s">
        <v>724</v>
      </c>
      <c r="I6" s="1491"/>
      <c r="J6" s="1491"/>
      <c r="K6" s="1491"/>
      <c r="L6" s="1491"/>
      <c r="M6" s="1491"/>
      <c r="N6" s="1478" t="str">
        <f>H6</f>
        <v>Kontrollera att sidnumreringen är korrekt</v>
      </c>
      <c r="O6" s="1491"/>
      <c r="P6" s="1491"/>
      <c r="Q6" s="1491"/>
      <c r="R6" s="1491"/>
      <c r="S6" s="1491"/>
      <c r="T6" s="1491"/>
      <c r="U6" s="1500"/>
    </row>
    <row r="7" spans="4:21" x14ac:dyDescent="0.25">
      <c r="D7" s="1508" t="s">
        <v>132</v>
      </c>
      <c r="E7" s="1491"/>
      <c r="F7" s="1500"/>
      <c r="G7" s="1498"/>
      <c r="H7" s="1478" t="s">
        <v>728</v>
      </c>
      <c r="I7" s="1491"/>
      <c r="J7" s="1491"/>
      <c r="K7" s="1491"/>
      <c r="L7" s="1491"/>
      <c r="M7" s="1491"/>
      <c r="N7" s="1478" t="str">
        <f>H7</f>
        <v>Se upp med dina Språk-inställningar, se nedan snaps (1 &amp; 2).</v>
      </c>
      <c r="O7" s="1491"/>
      <c r="P7" s="1491"/>
      <c r="Q7" s="1491"/>
      <c r="R7" s="1491"/>
      <c r="S7" s="1491"/>
      <c r="T7" s="1491"/>
      <c r="U7" s="1500"/>
    </row>
    <row r="8" spans="4:21" x14ac:dyDescent="0.25">
      <c r="D8" s="1508" t="s">
        <v>133</v>
      </c>
      <c r="E8" s="1491"/>
      <c r="F8" s="1500"/>
      <c r="G8" s="1498"/>
      <c r="H8" s="1478" t="s">
        <v>134</v>
      </c>
      <c r="I8" s="1491"/>
      <c r="J8" s="1491"/>
      <c r="K8" s="1491"/>
      <c r="L8" s="1491"/>
      <c r="M8" s="1491"/>
      <c r="N8" s="1478" t="s">
        <v>135</v>
      </c>
      <c r="O8" s="1491"/>
      <c r="P8" s="1491"/>
      <c r="Q8" s="1491"/>
      <c r="R8" s="1491"/>
      <c r="S8" s="1491"/>
      <c r="T8" s="1491"/>
      <c r="U8" s="1500"/>
    </row>
    <row r="9" spans="4:21" x14ac:dyDescent="0.25">
      <c r="D9" s="1508" t="s">
        <v>136</v>
      </c>
      <c r="E9" s="1491"/>
      <c r="F9" s="1500"/>
      <c r="G9" s="1498"/>
      <c r="H9" s="1478" t="s">
        <v>137</v>
      </c>
      <c r="I9" s="1491"/>
      <c r="J9" s="1491"/>
      <c r="K9" s="1491"/>
      <c r="L9" s="1491"/>
      <c r="M9" s="1491"/>
      <c r="N9" s="1478" t="s">
        <v>136</v>
      </c>
      <c r="O9" s="1491"/>
      <c r="P9" s="1491"/>
      <c r="Q9" s="1491"/>
      <c r="R9" s="1491"/>
      <c r="S9" s="1491"/>
      <c r="T9" s="1491"/>
      <c r="U9" s="1500"/>
    </row>
    <row r="10" spans="4:21" x14ac:dyDescent="0.25">
      <c r="D10" s="1508" t="s">
        <v>138</v>
      </c>
      <c r="E10" s="1491"/>
      <c r="F10" s="1500"/>
      <c r="G10" s="1498"/>
      <c r="H10" s="1478" t="s">
        <v>139</v>
      </c>
      <c r="I10" s="1491"/>
      <c r="J10" s="1491"/>
      <c r="K10" s="1491"/>
      <c r="L10" s="1491"/>
      <c r="M10" s="1491"/>
      <c r="N10" s="1491" t="str">
        <f t="shared" ref="N10:N22" si="0">H10</f>
        <v>Högerjustering på siffror + rubrik (undantag Bullet-tabell sid 1)</v>
      </c>
      <c r="O10" s="1491"/>
      <c r="P10" s="1491"/>
      <c r="Q10" s="1491"/>
      <c r="R10" s="1491"/>
      <c r="S10" s="1491"/>
      <c r="T10" s="1491"/>
      <c r="U10" s="1500"/>
    </row>
    <row r="11" spans="4:21" x14ac:dyDescent="0.25">
      <c r="D11" s="1508" t="s">
        <v>743</v>
      </c>
      <c r="E11" s="1491"/>
      <c r="F11" s="1500"/>
      <c r="G11" s="1498"/>
      <c r="H11" s="1478" t="s">
        <v>744</v>
      </c>
      <c r="I11" s="1491"/>
      <c r="J11" s="1491"/>
      <c r="K11" s="1491"/>
      <c r="L11" s="1491"/>
      <c r="M11" s="1491"/>
      <c r="N11" s="1491" t="str">
        <f t="shared" si="0"/>
        <v>Säkerställ korrekt färgkodning i tabellerna (Blått och vitt)</v>
      </c>
      <c r="O11" s="1491"/>
      <c r="P11" s="1491"/>
      <c r="Q11" s="1491"/>
      <c r="R11" s="1491"/>
      <c r="S11" s="1491"/>
      <c r="T11" s="1491"/>
      <c r="U11" s="1500"/>
    </row>
    <row r="12" spans="4:21" x14ac:dyDescent="0.25">
      <c r="D12" s="1508" t="s">
        <v>731</v>
      </c>
      <c r="E12" s="1491"/>
      <c r="F12" s="1500"/>
      <c r="G12" s="1498"/>
      <c r="H12" s="1478" t="s">
        <v>732</v>
      </c>
      <c r="I12" s="1491"/>
      <c r="J12" s="1491"/>
      <c r="K12" s="1491"/>
      <c r="L12" s="1491"/>
      <c r="M12" s="1491"/>
      <c r="N12" s="1478" t="str">
        <f t="shared" si="0"/>
        <v>Säkerställ korrekt kolumner (perioder) som ska inkluderas i kommunikéns tabeller</v>
      </c>
      <c r="O12" s="1491"/>
      <c r="P12" s="1491"/>
      <c r="Q12" s="1491"/>
      <c r="R12" s="1491"/>
      <c r="S12" s="1491"/>
      <c r="T12" s="1491"/>
      <c r="U12" s="1500"/>
    </row>
    <row r="13" spans="4:21" x14ac:dyDescent="0.25">
      <c r="D13" s="1508" t="s">
        <v>140</v>
      </c>
      <c r="E13" s="1491"/>
      <c r="F13" s="1500"/>
      <c r="G13" s="1498"/>
      <c r="H13" s="1478">
        <v>8.57</v>
      </c>
      <c r="I13" s="1491"/>
      <c r="J13" s="1491"/>
      <c r="K13" s="1491"/>
      <c r="L13" s="1491"/>
      <c r="M13" s="1491"/>
      <c r="N13" s="1478">
        <f t="shared" si="0"/>
        <v>8.57</v>
      </c>
      <c r="O13" s="1491"/>
      <c r="P13" s="1491"/>
      <c r="Q13" s="1491"/>
      <c r="R13" s="1491"/>
      <c r="S13" s="1491"/>
      <c r="T13" s="1491"/>
      <c r="U13" s="1500"/>
    </row>
    <row r="14" spans="4:21" x14ac:dyDescent="0.25">
      <c r="D14" s="1508" t="s">
        <v>727</v>
      </c>
      <c r="E14" s="1491"/>
      <c r="F14" s="1500"/>
      <c r="G14" s="1498"/>
      <c r="H14" s="1501">
        <v>9</v>
      </c>
      <c r="I14" s="1491" t="s">
        <v>862</v>
      </c>
      <c r="J14" s="1491"/>
      <c r="K14" s="1491"/>
      <c r="L14" s="1491"/>
      <c r="M14" s="1491"/>
      <c r="N14" s="1501">
        <f t="shared" si="0"/>
        <v>9</v>
      </c>
      <c r="O14" s="1491"/>
      <c r="P14" s="1491"/>
      <c r="Q14" s="1491"/>
      <c r="R14" s="1491"/>
      <c r="S14" s="1491"/>
      <c r="T14" s="1491"/>
      <c r="U14" s="1500"/>
    </row>
    <row r="15" spans="4:21" x14ac:dyDescent="0.25">
      <c r="D15" s="1508" t="s">
        <v>907</v>
      </c>
      <c r="E15" s="1491"/>
      <c r="F15" s="1500"/>
      <c r="G15" s="1498"/>
      <c r="H15" s="1501">
        <v>7</v>
      </c>
      <c r="I15" s="1491"/>
      <c r="J15" s="1491"/>
      <c r="K15" s="1491"/>
      <c r="L15" s="1491"/>
      <c r="M15" s="1491"/>
      <c r="N15" s="1501">
        <v>7</v>
      </c>
      <c r="O15" s="1491"/>
      <c r="P15" s="1491"/>
      <c r="Q15" s="1491"/>
      <c r="R15" s="1491"/>
      <c r="S15" s="1491"/>
      <c r="T15" s="1491"/>
      <c r="U15" s="1500"/>
    </row>
    <row r="16" spans="4:21" x14ac:dyDescent="0.25">
      <c r="D16" s="1509" t="s">
        <v>141</v>
      </c>
      <c r="E16" s="1510"/>
      <c r="F16" s="1511"/>
      <c r="G16" s="1502"/>
      <c r="H16" s="1503" t="s">
        <v>725</v>
      </c>
      <c r="I16" s="1491"/>
      <c r="J16" s="1491"/>
      <c r="K16" s="1491"/>
      <c r="L16" s="1491"/>
      <c r="M16" s="1491"/>
      <c r="N16" s="1492" t="str">
        <f t="shared" si="0"/>
        <v xml:space="preserve">Alla tabeller i "Koncern RR" </v>
      </c>
      <c r="O16" s="1491"/>
      <c r="P16" s="1491"/>
      <c r="Q16" s="1491"/>
      <c r="R16" s="1491"/>
      <c r="S16" s="1491"/>
      <c r="T16" s="1491"/>
      <c r="U16" s="1500"/>
    </row>
    <row r="17" spans="3:21" x14ac:dyDescent="0.25">
      <c r="D17" s="1508" t="s">
        <v>210</v>
      </c>
      <c r="E17" s="1510"/>
      <c r="F17" s="1511"/>
      <c r="G17" s="1502"/>
      <c r="H17" s="1504" t="s">
        <v>737</v>
      </c>
      <c r="I17" s="1491"/>
      <c r="J17" s="1491"/>
      <c r="K17" s="1491"/>
      <c r="L17" s="1491"/>
      <c r="M17" s="1491"/>
      <c r="N17" s="1491" t="str">
        <f t="shared" si="0"/>
        <v>Säkerställ att alla nyckeltal i Bullet-tabellen på sida 1 är inkluderade</v>
      </c>
      <c r="O17" s="1491"/>
      <c r="P17" s="1491"/>
      <c r="Q17" s="1491"/>
      <c r="R17" s="1491"/>
      <c r="S17" s="1491"/>
      <c r="T17" s="1491"/>
      <c r="U17" s="1500"/>
    </row>
    <row r="18" spans="3:21" x14ac:dyDescent="0.25">
      <c r="D18" s="1508" t="s">
        <v>210</v>
      </c>
      <c r="E18" s="1510"/>
      <c r="F18" s="1511"/>
      <c r="G18" s="1502"/>
      <c r="H18" s="1504" t="s">
        <v>736</v>
      </c>
      <c r="I18" s="1491"/>
      <c r="J18" s="1491"/>
      <c r="K18" s="1491"/>
      <c r="L18" s="1491"/>
      <c r="M18" s="1491"/>
      <c r="N18" s="1491" t="str">
        <f t="shared" si="0"/>
        <v>Säkerställ att alla nyckeltal på sista sidan är inkluderade</v>
      </c>
      <c r="O18" s="1491"/>
      <c r="P18" s="1491"/>
      <c r="Q18" s="1491"/>
      <c r="R18" s="1491"/>
      <c r="S18" s="1491"/>
      <c r="T18" s="1491"/>
      <c r="U18" s="1500"/>
    </row>
    <row r="19" spans="3:21" x14ac:dyDescent="0.25">
      <c r="D19" s="1508" t="s">
        <v>767</v>
      </c>
      <c r="E19" s="1491"/>
      <c r="F19" s="1500"/>
      <c r="G19" s="1498"/>
      <c r="H19" s="1478" t="s">
        <v>726</v>
      </c>
      <c r="I19" s="1491"/>
      <c r="J19" s="1491"/>
      <c r="K19" s="1491"/>
      <c r="L19" s="1491"/>
      <c r="M19" s="1491"/>
      <c r="N19" s="1491" t="str">
        <f t="shared" si="0"/>
        <v>Source Sans Pro Light</v>
      </c>
      <c r="O19" s="1491"/>
      <c r="P19" s="1491"/>
      <c r="Q19" s="1491"/>
      <c r="R19" s="1491"/>
      <c r="S19" s="1491"/>
      <c r="T19" s="1491"/>
      <c r="U19" s="1500"/>
    </row>
    <row r="20" spans="3:21" x14ac:dyDescent="0.25">
      <c r="D20" s="1508" t="s">
        <v>142</v>
      </c>
      <c r="E20" s="1491"/>
      <c r="F20" s="1500"/>
      <c r="G20" s="1498"/>
      <c r="H20" s="1478" t="s">
        <v>143</v>
      </c>
      <c r="I20" s="1491"/>
      <c r="J20" s="1491"/>
      <c r="K20" s="1491"/>
      <c r="L20" s="1491"/>
      <c r="M20" s="1491"/>
      <c r="N20" s="1491" t="str">
        <f t="shared" si="0"/>
        <v>Använd "As shown when printed" för bästa kvalité</v>
      </c>
      <c r="O20" s="1491"/>
      <c r="P20" s="1491"/>
      <c r="Q20" s="1491"/>
      <c r="R20" s="1491"/>
      <c r="S20" s="1491"/>
      <c r="T20" s="1491"/>
      <c r="U20" s="1500"/>
    </row>
    <row r="21" spans="3:21" x14ac:dyDescent="0.25">
      <c r="D21" s="1508" t="s">
        <v>144</v>
      </c>
      <c r="E21" s="1491"/>
      <c r="F21" s="1500"/>
      <c r="G21" s="1498"/>
      <c r="H21" s="1478" t="s">
        <v>145</v>
      </c>
      <c r="I21" s="1491"/>
      <c r="J21" s="1491"/>
      <c r="K21" s="1491"/>
      <c r="L21" s="1491"/>
      <c r="M21" s="1491"/>
      <c r="N21" s="1491" t="str">
        <f t="shared" si="0"/>
        <v>Ex. BR kan behövas göras större än 100%</v>
      </c>
      <c r="O21" s="1491"/>
      <c r="P21" s="1491"/>
      <c r="Q21" s="1491"/>
      <c r="R21" s="1491"/>
      <c r="S21" s="1491"/>
      <c r="T21" s="1491"/>
      <c r="U21" s="1500"/>
    </row>
    <row r="22" spans="3:21" x14ac:dyDescent="0.25">
      <c r="D22" s="1512" t="s">
        <v>723</v>
      </c>
      <c r="E22" s="1493"/>
      <c r="F22" s="1507"/>
      <c r="G22" s="1505"/>
      <c r="H22" s="1506" t="s">
        <v>735</v>
      </c>
      <c r="I22" s="1493"/>
      <c r="J22" s="1493"/>
      <c r="K22" s="1493"/>
      <c r="L22" s="1493"/>
      <c r="M22" s="1493"/>
      <c r="N22" s="1493" t="str">
        <f t="shared" si="0"/>
        <v>Se upp så att dessa EJ "hoppar" när du klistrar in tabeller</v>
      </c>
      <c r="O22" s="1493"/>
      <c r="P22" s="1493"/>
      <c r="Q22" s="1493"/>
      <c r="R22" s="1493"/>
      <c r="S22" s="1493"/>
      <c r="T22" s="1493"/>
      <c r="U22" s="1507"/>
    </row>
    <row r="25" spans="3:21" x14ac:dyDescent="0.25">
      <c r="C25" s="1474" t="s">
        <v>729</v>
      </c>
      <c r="S25" s="1474" t="s">
        <v>730</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B545-5F7B-4D61-B9F4-20799D14352F}">
  <dimension ref="A1:M14"/>
  <sheetViews>
    <sheetView workbookViewId="0"/>
    <sheetView workbookViewId="1"/>
  </sheetViews>
  <sheetFormatPr defaultRowHeight="15" x14ac:dyDescent="0.25"/>
  <sheetData>
    <row r="1" spans="1:13" x14ac:dyDescent="0.25">
      <c r="A1">
        <v>2.5</v>
      </c>
      <c r="B1" t="s">
        <v>146</v>
      </c>
    </row>
    <row r="2" spans="1:13" x14ac:dyDescent="0.25">
      <c r="A2">
        <v>1</v>
      </c>
      <c r="B2" t="s">
        <v>147</v>
      </c>
    </row>
    <row r="3" spans="1:13" x14ac:dyDescent="0.25">
      <c r="A3">
        <v>0.5</v>
      </c>
      <c r="B3" t="s">
        <v>148</v>
      </c>
    </row>
    <row r="4" spans="1:13" x14ac:dyDescent="0.25">
      <c r="A4">
        <v>1.2</v>
      </c>
      <c r="B4" t="s">
        <v>149</v>
      </c>
    </row>
    <row r="5" spans="1:13" x14ac:dyDescent="0.25">
      <c r="A5">
        <f>SUM(A1:A4)</f>
        <v>5.2</v>
      </c>
    </row>
    <row r="11" spans="1:13" x14ac:dyDescent="0.25">
      <c r="F11" t="s">
        <v>150</v>
      </c>
      <c r="H11">
        <v>39.5</v>
      </c>
      <c r="I11">
        <v>34.4</v>
      </c>
      <c r="J11">
        <f>H11-I11</f>
        <v>5.1000000000000014</v>
      </c>
      <c r="K11" s="1275">
        <f>H11/I11-1</f>
        <v>0.14825581395348841</v>
      </c>
    </row>
    <row r="12" spans="1:13" x14ac:dyDescent="0.25">
      <c r="M12" s="1275">
        <v>0.04</v>
      </c>
    </row>
    <row r="13" spans="1:13" x14ac:dyDescent="0.25">
      <c r="M13">
        <f>M12*I11</f>
        <v>1.3759999999999999</v>
      </c>
    </row>
    <row r="14" spans="1:13" x14ac:dyDescent="0.25">
      <c r="M14">
        <f>J11-M13</f>
        <v>3.7240000000000015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dd964f7-1c64-4314-baf6-9bbb0490aa3b">
      <Terms xmlns="http://schemas.microsoft.com/office/infopath/2007/PartnerControls"/>
    </lcf76f155ced4ddcb4097134ff3c332f>
    <Omr_x00e5_de xmlns="0dd964f7-1c64-4314-baf6-9bbb0490aa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81ED7C284581E45BA53E819E2DB6E21" ma:contentTypeVersion="11" ma:contentTypeDescription="Skapa ett nytt dokument." ma:contentTypeScope="" ma:versionID="d48329a089cdd0718985e0b9abe49fcd">
  <xsd:schema xmlns:xsd="http://www.w3.org/2001/XMLSchema" xmlns:xs="http://www.w3.org/2001/XMLSchema" xmlns:p="http://schemas.microsoft.com/office/2006/metadata/properties" xmlns:ns2="0dd964f7-1c64-4314-baf6-9bbb0490aa3b" targetNamespace="http://schemas.microsoft.com/office/2006/metadata/properties" ma:root="true" ma:fieldsID="3d842027de92a88a87edf022f58856ca" ns2:_="">
    <xsd:import namespace="0dd964f7-1c64-4314-baf6-9bbb0490aa3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Omr_x00e5_de"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964f7-1c64-4314-baf6-9bbb0490aa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Omr_x00e5_de" ma:index="15" nillable="true" ma:displayName="Område" ma:format="Dropdown" ma:internalName="Omr_x00e5_de">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Bildmarkeringar" ma:readOnly="false" ma:fieldId="{5cf76f15-5ced-4ddc-b409-7134ff3c332f}" ma:taxonomyMulti="true" ma:sspId="65b39942-ad46-45be-a74e-01f48f415c7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3E5453-BB53-4B41-94B6-CB92D8DCA5D9}">
  <ds:schemaRefs>
    <ds:schemaRef ds:uri="http://www.w3.org/XML/1998/namespace"/>
    <ds:schemaRef ds:uri="http://purl.org/dc/dcmitype/"/>
    <ds:schemaRef ds:uri="0dd964f7-1c64-4314-baf6-9bbb0490aa3b"/>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78C8375-FF85-4E33-A53C-9743485C6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964f7-1c64-4314-baf6-9bbb0490aa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FD69C9-F16A-4F96-B9C4-6DCE365FD207}">
  <ds:schemaRefs>
    <ds:schemaRef ds:uri="http://schemas.microsoft.com/sharepoint/v3/contenttype/forms"/>
  </ds:schemaRefs>
</ds:datastoreItem>
</file>

<file path=docMetadata/LabelInfo.xml><?xml version="1.0" encoding="utf-8"?>
<clbl:labelList xmlns:clbl="http://schemas.microsoft.com/office/2020/mipLabelMetadata">
  <clbl:label id="{5dfb2647-ff3d-4203-bb41-0ec04148d527}" enabled="1" method="Standard" siteId="{ae9bfc1f-3527-4bcd-b3fd-d0618fa96fe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Bullettabell KOPIA ta bort</vt:lpstr>
      <vt:lpstr>Nyckeltal -&gt;</vt:lpstr>
      <vt:lpstr>2603</vt:lpstr>
      <vt:lpstr>2606</vt:lpstr>
      <vt:lpstr>Instructions</vt:lpstr>
      <vt:lpstr>Avstämning RAN vs Månadsrapport</vt:lpstr>
      <vt:lpstr>Räntekostnader finansinst</vt:lpstr>
      <vt:lpstr>Checklist Delårsrapport</vt:lpstr>
      <vt:lpstr>NRC Q126</vt:lpstr>
      <vt:lpstr>Avskrivningar</vt:lpstr>
      <vt:lpstr>BR, RR &amp; Bryggor -&gt;</vt:lpstr>
      <vt:lpstr>Koncern RR </vt:lpstr>
      <vt:lpstr>Koncern BR</vt:lpstr>
      <vt:lpstr>Koncernens eget kapital (3)</vt:lpstr>
      <vt:lpstr>Koncernens eget kapital (2)</vt:lpstr>
      <vt:lpstr>Koncern Nyckeltal (2)</vt:lpstr>
      <vt:lpstr>Övriga Tabeller &amp; Noter-&gt;</vt:lpstr>
      <vt:lpstr>Koncern EK</vt:lpstr>
      <vt:lpstr>Koncern KFA</vt:lpstr>
      <vt:lpstr>MB RR</vt:lpstr>
      <vt:lpstr>MB BR</vt:lpstr>
      <vt:lpstr>Not 2</vt:lpstr>
      <vt:lpstr>Not 3</vt:lpstr>
      <vt:lpstr>Not 4</vt:lpstr>
      <vt:lpstr>Not 5</vt:lpstr>
      <vt:lpstr>Not 6</vt:lpstr>
      <vt:lpstr>Not 9 - Polen</vt:lpstr>
      <vt:lpstr>Sheet1</vt:lpstr>
      <vt:lpstr>Koncern RR - EJ ANVÄNDA</vt:lpstr>
      <vt:lpstr>Bullettabell - EJ ANVÄNDA</vt:lpstr>
      <vt:lpstr>Koncern BR - KONCERN ANVÄNDA</vt:lpstr>
      <vt:lpstr>Koncern Nyckeltal - EJ ANVÄNDA</vt:lpstr>
      <vt:lpstr> Finansiella ställning TA BORT</vt:lpstr>
      <vt:lpstr>Bullettabell 20250425 TA BORT</vt:lpstr>
      <vt:lpstr>Not 6 TA BORT</vt:lpstr>
      <vt:lpstr>Not 7 tab1</vt:lpstr>
      <vt:lpstr>Not 7 tab2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Mattias Lindahl</dc:creator>
  <cp:keywords/>
  <dc:description/>
  <cp:lastModifiedBy>Henrik Carlsson</cp:lastModifiedBy>
  <cp:revision/>
  <dcterms:created xsi:type="dcterms:W3CDTF">2017-04-04T13:37:54Z</dcterms:created>
  <dcterms:modified xsi:type="dcterms:W3CDTF">2026-07-15T14:36:57Z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dfb2647-ff3d-4203-bb41-0ec04148d527_Enabled">
    <vt:lpwstr>true</vt:lpwstr>
  </property>
  <property fmtid="{D5CDD505-2E9C-101B-9397-08002B2CF9AE}" pid="3" name="MSIP_Label_5dfb2647-ff3d-4203-bb41-0ec04148d527_SetDate">
    <vt:lpwstr>2023-04-12T13:46:30Z</vt:lpwstr>
  </property>
  <property fmtid="{D5CDD505-2E9C-101B-9397-08002B2CF9AE}" pid="4" name="MSIP_Label_5dfb2647-ff3d-4203-bb41-0ec04148d527_Method">
    <vt:lpwstr>Standard</vt:lpwstr>
  </property>
  <property fmtid="{D5CDD505-2E9C-101B-9397-08002B2CF9AE}" pid="5" name="MSIP_Label_5dfb2647-ff3d-4203-bb41-0ec04148d527_Name">
    <vt:lpwstr>defa4170-0d19-0005-0004-bc88714345d2</vt:lpwstr>
  </property>
  <property fmtid="{D5CDD505-2E9C-101B-9397-08002B2CF9AE}" pid="6" name="MSIP_Label_5dfb2647-ff3d-4203-bb41-0ec04148d527_SiteId">
    <vt:lpwstr>ae9bfc1f-3527-4bcd-b3fd-d0618fa96fea</vt:lpwstr>
  </property>
  <property fmtid="{D5CDD505-2E9C-101B-9397-08002B2CF9AE}" pid="7" name="MSIP_Label_5dfb2647-ff3d-4203-bb41-0ec04148d527_ActionId">
    <vt:lpwstr>49cfafd3-ca0c-4f7d-9272-970f42b51b7b</vt:lpwstr>
  </property>
  <property fmtid="{D5CDD505-2E9C-101B-9397-08002B2CF9AE}" pid="8" name="MSIP_Label_5dfb2647-ff3d-4203-bb41-0ec04148d527_ContentBits">
    <vt:lpwstr>0</vt:lpwstr>
  </property>
  <property fmtid="{D5CDD505-2E9C-101B-9397-08002B2CF9AE}" pid="9" name="ContentTypeId">
    <vt:lpwstr>0x010100A81ED7C284581E45BA53E819E2DB6E21</vt:lpwstr>
  </property>
  <property fmtid="{D5CDD505-2E9C-101B-9397-08002B2CF9AE}" pid="10" name="MediaServiceImageTags">
    <vt:lpwstr/>
  </property>
</Properties>
</file>